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7770" windowHeight="4500" tabRatio="944" activeTab="0"/>
  </bookViews>
  <sheets>
    <sheet name="Остапенко" sheetId="1" r:id="rId1"/>
    <sheet name="плат.электрики11" sheetId="2" r:id="rId2"/>
    <sheet name="плат.усл.сант.11" sheetId="3" r:id="rId3"/>
    <sheet name="плат.усл. СОСР 11" sheetId="4" r:id="rId4"/>
    <sheet name="отключ.эл.энергии11" sheetId="5" r:id="rId5"/>
  </sheets>
  <definedNames>
    <definedName name="_xlnm.Print_Area" localSheetId="3">'плат.усл. СОСР 11'!$A$1:$Y$251</definedName>
    <definedName name="_xlnm.Print_Area" localSheetId="2">'плат.усл.сант.11'!$A$1:$N$188</definedName>
    <definedName name="_xlnm.Print_Area" localSheetId="1">'плат.электрики11'!$A$1:$N$87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12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5% от обслуживания жилфонда по тарифу (Лифт)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C6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на основании локального сметного расчета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C33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фактическое время, в ТЕРах нет расценки
</t>
        </r>
      </text>
    </comment>
  </commentList>
</comments>
</file>

<file path=xl/sharedStrings.xml><?xml version="1.0" encoding="utf-8"?>
<sst xmlns="http://schemas.openxmlformats.org/spreadsheetml/2006/main" count="1237" uniqueCount="489">
  <si>
    <t>Устройство деревянных плинтусов</t>
  </si>
  <si>
    <t>НДС = 18%</t>
  </si>
  <si>
    <t>Итого к оплате с НДС:</t>
  </si>
  <si>
    <t xml:space="preserve">Сумма,  </t>
  </si>
  <si>
    <t>слесарь с/т 2 раз</t>
  </si>
  <si>
    <t>газосварщик 4 раз</t>
  </si>
  <si>
    <t>слесарь с/т 3 раз</t>
  </si>
  <si>
    <t>Экономист:</t>
  </si>
  <si>
    <t>платных услуг для населения, выполняемых ЭЛЕКТРОСЛУЖБОЙ</t>
  </si>
  <si>
    <t xml:space="preserve">Начальник ФЭО:                                           </t>
  </si>
  <si>
    <t>одной или двух крайних</t>
  </si>
  <si>
    <t>одной лил двух средних</t>
  </si>
  <si>
    <t>Снятие секций радиаторов</t>
  </si>
  <si>
    <t>стальных</t>
  </si>
  <si>
    <t>чугунных</t>
  </si>
  <si>
    <t>канализации из чугунных труб, 1 участок</t>
  </si>
  <si>
    <t>N п/п</t>
  </si>
  <si>
    <t>Перегруппировка секций радиатора</t>
  </si>
  <si>
    <t>при весе до 80 кг</t>
  </si>
  <si>
    <t>при весе до 160 кг</t>
  </si>
  <si>
    <t>шпатлевки</t>
  </si>
  <si>
    <t>олифы</t>
  </si>
  <si>
    <t>природ.</t>
  </si>
  <si>
    <t xml:space="preserve">Ликвидация воздушных пробок в системе </t>
  </si>
  <si>
    <t>стоимость</t>
  </si>
  <si>
    <t>работ с</t>
  </si>
  <si>
    <t>Наклад.</t>
  </si>
  <si>
    <t>Рента-</t>
  </si>
  <si>
    <t>Укрепление крючков для труб и приборов цен-</t>
  </si>
  <si>
    <t>Зарплата</t>
  </si>
  <si>
    <t>рабочего</t>
  </si>
  <si>
    <t>Резерв</t>
  </si>
  <si>
    <t>отпуска</t>
  </si>
  <si>
    <t>Начислен.</t>
  </si>
  <si>
    <t>на з/плату</t>
  </si>
  <si>
    <t xml:space="preserve">Норма </t>
  </si>
  <si>
    <t>Проф.</t>
  </si>
  <si>
    <t>мастерст.</t>
  </si>
  <si>
    <t>Окраска известковыми составами: по шту-</t>
  </si>
  <si>
    <t>Окраска известковыми составами: по кир-</t>
  </si>
  <si>
    <t>пичу и бетону помещений площадью менее</t>
  </si>
  <si>
    <t>Улучшенная масляная окраска ранее окра-</t>
  </si>
  <si>
    <t>шенных стен за два раза с расчисткой ста-</t>
  </si>
  <si>
    <t>рой краски до 10%</t>
  </si>
  <si>
    <t>рой краски до 10%, помещений площадью</t>
  </si>
  <si>
    <t xml:space="preserve">Стоимость </t>
  </si>
  <si>
    <t>шлифов.</t>
  </si>
  <si>
    <t>бумаги</t>
  </si>
  <si>
    <t xml:space="preserve">шенных потолков за два раза с расчисткой </t>
  </si>
  <si>
    <t>старой краски до 10%, помещений пло-</t>
  </si>
  <si>
    <t>шенных окон за два раза с расчисткой ста-</t>
  </si>
  <si>
    <t>шенных дверей за два раза с расчисткой</t>
  </si>
  <si>
    <t xml:space="preserve">шенных полов за два раза с расчисткой </t>
  </si>
  <si>
    <t>То же водоэмульсионной краской</t>
  </si>
  <si>
    <t xml:space="preserve">мела </t>
  </si>
  <si>
    <t>мыла</t>
  </si>
  <si>
    <t>хозяйств.</t>
  </si>
  <si>
    <t>или жидко-</t>
  </si>
  <si>
    <t>го малярн.</t>
  </si>
  <si>
    <t>Смена обоев улучшенного качества в по-</t>
  </si>
  <si>
    <t>Оклейка стен обоями улучшенного кач - ва</t>
  </si>
  <si>
    <t>времени</t>
  </si>
  <si>
    <t>Рентабель-</t>
  </si>
  <si>
    <t>ность</t>
  </si>
  <si>
    <t>Смена стекол в деревянных переплетах</t>
  </si>
  <si>
    <t xml:space="preserve">Ремонт дверных полотен со сменой </t>
  </si>
  <si>
    <t>брусков обвязки горизонтальных на 2</t>
  </si>
  <si>
    <t xml:space="preserve">                                        до 20</t>
  </si>
  <si>
    <t xml:space="preserve">Ремонт дверных коробок в каменных </t>
  </si>
  <si>
    <t>стенах: выправка, укрепление, при-</t>
  </si>
  <si>
    <t xml:space="preserve">НДС, </t>
  </si>
  <si>
    <t>№ п/п</t>
  </si>
  <si>
    <t>Изме-ритель</t>
  </si>
  <si>
    <r>
      <t>при площади стекла до 1,0 м</t>
    </r>
    <r>
      <rPr>
        <vertAlign val="superscript"/>
        <sz val="11"/>
        <rFont val="Arial Cyr"/>
        <family val="2"/>
      </rPr>
      <t>2</t>
    </r>
    <r>
      <rPr>
        <sz val="11"/>
        <rFont val="Arial Cyr"/>
        <family val="2"/>
      </rPr>
      <t xml:space="preserve"> (с нарез-</t>
    </r>
  </si>
  <si>
    <t>ТЭР</t>
  </si>
  <si>
    <t>15-009</t>
  </si>
  <si>
    <r>
      <t>при площади стекла до 0,5 м</t>
    </r>
    <r>
      <rPr>
        <vertAlign val="superscript"/>
        <sz val="11"/>
        <rFont val="Arial Cyr"/>
        <family val="2"/>
      </rPr>
      <t>2</t>
    </r>
    <r>
      <rPr>
        <sz val="11"/>
        <rFont val="Arial Cyr"/>
        <family val="2"/>
      </rPr>
      <t xml:space="preserve"> (с нарез-</t>
    </r>
  </si>
  <si>
    <t>15-010</t>
  </si>
  <si>
    <t>Е 8-1-33</t>
  </si>
  <si>
    <t>15-006</t>
  </si>
  <si>
    <t>15-007</t>
  </si>
  <si>
    <t>15-050</t>
  </si>
  <si>
    <t>15-047</t>
  </si>
  <si>
    <t>15-048</t>
  </si>
  <si>
    <t>15-049</t>
  </si>
  <si>
    <t>15-017</t>
  </si>
  <si>
    <t>ТЭР 15-016</t>
  </si>
  <si>
    <t>Е 40-3-26</t>
  </si>
  <si>
    <t>16-005</t>
  </si>
  <si>
    <t>16-006</t>
  </si>
  <si>
    <t>16-007</t>
  </si>
  <si>
    <t>22-005</t>
  </si>
  <si>
    <t>22-006</t>
  </si>
  <si>
    <t>22-008</t>
  </si>
  <si>
    <t>22-009</t>
  </si>
  <si>
    <t>22-053</t>
  </si>
  <si>
    <t>ТЭР 22-083</t>
  </si>
  <si>
    <t>22-052</t>
  </si>
  <si>
    <t>ТЭР 22-082</t>
  </si>
  <si>
    <r>
      <t>щадью более 5 м</t>
    </r>
    <r>
      <rPr>
        <vertAlign val="superscript"/>
        <sz val="11"/>
        <rFont val="Arial Cyr"/>
        <family val="2"/>
      </rPr>
      <t>2</t>
    </r>
  </si>
  <si>
    <t>22-058</t>
  </si>
  <si>
    <t>ТЭР 22-088</t>
  </si>
  <si>
    <r>
      <t>щадью менее 5 м</t>
    </r>
    <r>
      <rPr>
        <vertAlign val="superscript"/>
        <sz val="11"/>
        <rFont val="Arial Cyr"/>
        <family val="2"/>
      </rPr>
      <t>2</t>
    </r>
  </si>
  <si>
    <t>22-059</t>
  </si>
  <si>
    <t>ТЭР 22-089</t>
  </si>
  <si>
    <t>22-064</t>
  </si>
  <si>
    <t>старой краски до 10%</t>
  </si>
  <si>
    <t>22-076</t>
  </si>
  <si>
    <t>старой краски до 35%</t>
  </si>
  <si>
    <t>22-074</t>
  </si>
  <si>
    <t>22-070</t>
  </si>
  <si>
    <t>22-077</t>
  </si>
  <si>
    <t>22-142</t>
  </si>
  <si>
    <t>22-143</t>
  </si>
  <si>
    <t>ТЭР 16-036</t>
  </si>
  <si>
    <t>Е 8-1-28</t>
  </si>
  <si>
    <t xml:space="preserve"> Стоимость</t>
  </si>
  <si>
    <t>платных услуг на выполнение строительных работ</t>
  </si>
  <si>
    <r>
      <t xml:space="preserve">Примечание: </t>
    </r>
    <r>
      <rPr>
        <sz val="11"/>
        <rFont val="Arial Cyr"/>
        <family val="2"/>
      </rPr>
      <t xml:space="preserve">в стоимость работ </t>
    </r>
    <r>
      <rPr>
        <b/>
        <i/>
        <sz val="11"/>
        <rFont val="Arial Cyr"/>
        <family val="2"/>
      </rPr>
      <t xml:space="preserve">не входит </t>
    </r>
    <r>
      <rPr>
        <sz val="11"/>
        <rFont val="Arial Cyr"/>
        <family val="2"/>
      </rPr>
      <t xml:space="preserve">стоимость основных материалов  </t>
    </r>
  </si>
  <si>
    <t xml:space="preserve">(стекла, брусков, доски половой, замков, красителей, извести, клея обойного и т.д.) </t>
  </si>
  <si>
    <t>Смена сгонов у трубопроводов диаметром до 20 мм</t>
  </si>
  <si>
    <t>Смена дверных приборов: замки наклад-</t>
  </si>
  <si>
    <t>Электро-</t>
  </si>
  <si>
    <t>энергия</t>
  </si>
  <si>
    <t>клея ПВА</t>
  </si>
  <si>
    <t>гвоздей</t>
  </si>
  <si>
    <t>штапика</t>
  </si>
  <si>
    <t>шурупов</t>
  </si>
  <si>
    <t>1 брусок</t>
  </si>
  <si>
    <t>1 шт.</t>
  </si>
  <si>
    <t>1 коробка</t>
  </si>
  <si>
    <t>Ремонт дощатых покрытий, сплачивание</t>
  </si>
  <si>
    <t>слесарь с/т (по среднему разряду 3,6)</t>
  </si>
  <si>
    <t>Смена сидений к унитазам</t>
  </si>
  <si>
    <t>Укрепление расшатанного унитаза</t>
  </si>
  <si>
    <t>Прочистка приборов канализации, 1 шт.</t>
  </si>
  <si>
    <t>Очистка внутренней канализационной сети, 1 м</t>
  </si>
  <si>
    <t>(для ЖСК)</t>
  </si>
  <si>
    <t>слесарь с/т (по среднему разряду 2,5)</t>
  </si>
  <si>
    <t>Смена дощатых полов с добавлением</t>
  </si>
  <si>
    <t>Смена досок в полах до 3 шт. в одном</t>
  </si>
  <si>
    <t>1 п.м.</t>
  </si>
  <si>
    <t>Итого с</t>
  </si>
  <si>
    <t>чел./ч</t>
  </si>
  <si>
    <t>Воликова Н. В.</t>
  </si>
  <si>
    <t>диаметром до 20 мм</t>
  </si>
  <si>
    <t>диаметром до 32 мм</t>
  </si>
  <si>
    <t xml:space="preserve">Смена смывной трубы c резиновыми манжетами  </t>
  </si>
  <si>
    <t xml:space="preserve">высокорасположенного бачка </t>
  </si>
  <si>
    <t>Смена водомера</t>
  </si>
  <si>
    <t>из стальных оцинкованных труб,  1 участок</t>
  </si>
  <si>
    <t>Труд</t>
  </si>
  <si>
    <t>затраты</t>
  </si>
  <si>
    <t>Начислен</t>
  </si>
  <si>
    <t>на з/пл</t>
  </si>
  <si>
    <t>от ФОТ</t>
  </si>
  <si>
    <t>расходы</t>
  </si>
  <si>
    <t>Смена отдельных участков трубопроводов</t>
  </si>
  <si>
    <t xml:space="preserve">Диаметр  d, мм </t>
  </si>
  <si>
    <t>при высокорасположенном смывном бачке</t>
  </si>
  <si>
    <t>Смена  трапов</t>
  </si>
  <si>
    <t>Смена отдельных водоразборных кранов</t>
  </si>
  <si>
    <t>Смена смесителей</t>
  </si>
  <si>
    <t>с душем</t>
  </si>
  <si>
    <t>без душа</t>
  </si>
  <si>
    <t>Смена мойки</t>
  </si>
  <si>
    <t>на одно отделение</t>
  </si>
  <si>
    <t xml:space="preserve">Смена унитаза </t>
  </si>
  <si>
    <t>Смена кронштейнов под санит. приборами</t>
  </si>
  <si>
    <t>установка приборов на кронштейны:</t>
  </si>
  <si>
    <t>смывной бачок</t>
  </si>
  <si>
    <t>умывальник</t>
  </si>
  <si>
    <t>1 м</t>
  </si>
  <si>
    <r>
      <t>1 м</t>
    </r>
    <r>
      <rPr>
        <vertAlign val="superscript"/>
        <sz val="11"/>
        <rFont val="Arial Cyr"/>
        <family val="0"/>
      </rPr>
      <t>2</t>
    </r>
  </si>
  <si>
    <t>ТЭР 11-01-035-03</t>
  </si>
  <si>
    <t xml:space="preserve">Диаметр,мм                                                          </t>
  </si>
  <si>
    <t>руб.</t>
  </si>
  <si>
    <t>Диаметр труб,мм</t>
  </si>
  <si>
    <t>Наименование работ</t>
  </si>
  <si>
    <t>чел/час</t>
  </si>
  <si>
    <t>I</t>
  </si>
  <si>
    <t>II</t>
  </si>
  <si>
    <t>Водопровод,канализация,горячее водоснабжение</t>
  </si>
  <si>
    <t>Смена смывного бачка</t>
  </si>
  <si>
    <t>Смена гибких подводок</t>
  </si>
  <si>
    <t>Смена  ванны (с установкой приборов)</t>
  </si>
  <si>
    <t>чугунной</t>
  </si>
  <si>
    <t>стальной</t>
  </si>
  <si>
    <t>из стальных эл.сварных труб, 1 участок</t>
  </si>
  <si>
    <t>до 15</t>
  </si>
  <si>
    <t>Начальник ФЭО:</t>
  </si>
  <si>
    <t>Начальник СОСР:</t>
  </si>
  <si>
    <t>слесарь с/т (по среднему разряду 2,8)</t>
  </si>
  <si>
    <t>в стояке</t>
  </si>
  <si>
    <t>в радиаторном блоке</t>
  </si>
  <si>
    <t>Отопление</t>
  </si>
  <si>
    <t>Итого</t>
  </si>
  <si>
    <t>Стоимость</t>
  </si>
  <si>
    <t>Замена кран-буксы</t>
  </si>
  <si>
    <r>
      <t>1 м</t>
    </r>
    <r>
      <rPr>
        <vertAlign val="superscript"/>
        <sz val="11"/>
        <rFont val="Arial Cyr"/>
        <family val="2"/>
      </rPr>
      <t>2</t>
    </r>
  </si>
  <si>
    <t>брусков обвязки вертикальных с числом</t>
  </si>
  <si>
    <t>Статьи затрат</t>
  </si>
  <si>
    <t>слесарь с/т (по среднему разряду 3,2)</t>
  </si>
  <si>
    <t>слесарь с/т (по среднему разряду 3,0)</t>
  </si>
  <si>
    <t>Е 20-1-138</t>
  </si>
  <si>
    <t>1м</t>
  </si>
  <si>
    <t>ТЭР 15-031</t>
  </si>
  <si>
    <t>слесарь с/т (по среднему разряду 3,5)</t>
  </si>
  <si>
    <t>слесарь с/т(по среднему разряду 3,5)</t>
  </si>
  <si>
    <t>слесарь с/т (по среднему разряду 4,1)</t>
  </si>
  <si>
    <t>Смена выпусков к умывальникам и мойкам</t>
  </si>
  <si>
    <t>Смена обвязки под ванну</t>
  </si>
  <si>
    <t>слесарь с/т (по среднему разряду 4,0)</t>
  </si>
  <si>
    <t>слесарь с/т (по среднему разряду 3,4)</t>
  </si>
  <si>
    <t>слесарь с/т (по среднему разряду 3,9)</t>
  </si>
  <si>
    <t>слесарь с/т (средний разряд 3,6)</t>
  </si>
  <si>
    <r>
      <t xml:space="preserve">Смена полотенцесушителя </t>
    </r>
    <r>
      <rPr>
        <sz val="11"/>
        <rFont val="Arial Cyr"/>
        <family val="2"/>
      </rPr>
      <t>(резьбовое соединение)</t>
    </r>
  </si>
  <si>
    <t>слесарь с/т (по среднему разряду 3,8)</t>
  </si>
  <si>
    <t>Смена умывальника (с установкой приборов)</t>
  </si>
  <si>
    <t>Ремонт арматуры смывного бачка</t>
  </si>
  <si>
    <t>слесарь с/т (по среднему разряду 4,3)</t>
  </si>
  <si>
    <t>слесарь с/т (по среднему разряду 4,2)</t>
  </si>
  <si>
    <t>канализации из полиэтиленовых труб, 1 участок</t>
  </si>
  <si>
    <t>Начальник ТВКС:</t>
  </si>
  <si>
    <t>Цеховые</t>
  </si>
  <si>
    <t>бельность,</t>
  </si>
  <si>
    <t xml:space="preserve">расходы </t>
  </si>
  <si>
    <t>от ФОТ,</t>
  </si>
  <si>
    <t>руб</t>
  </si>
  <si>
    <t>1м2</t>
  </si>
  <si>
    <t>затрат</t>
  </si>
  <si>
    <t>Исполнитель:</t>
  </si>
  <si>
    <t>Труд. затраты, чел/час</t>
  </si>
  <si>
    <t>Зарплата рабочего, руб.</t>
  </si>
  <si>
    <t>Проф. мастерство, руб.</t>
  </si>
  <si>
    <t>Начисл. на з/пл.</t>
  </si>
  <si>
    <t>Итого затрат, руб.</t>
  </si>
  <si>
    <t>Наклад. расходы от ФОТ, руб.</t>
  </si>
  <si>
    <t>1 пм</t>
  </si>
  <si>
    <t>Смена выключателей, 1 шт.</t>
  </si>
  <si>
    <t>Смена отдельных участков наружной проводки, 1 пм</t>
  </si>
  <si>
    <t>электромонтер (по среднему разряду 3,0)</t>
  </si>
  <si>
    <t>электромонтер (по среднему разряду 3,5)</t>
  </si>
  <si>
    <t>Смена розеток, 1 шт.</t>
  </si>
  <si>
    <t>Смена электросчетчиков, 1 шт.</t>
  </si>
  <si>
    <t>электромонтер ( по среднему  разряду 4,0)</t>
  </si>
  <si>
    <t>Смена патронов, 1 шт.</t>
  </si>
  <si>
    <t>электромонтер ( по среднему  разряду 2,0)</t>
  </si>
  <si>
    <t>Смена светильников с лампами накаливания, 1 шт.</t>
  </si>
  <si>
    <t xml:space="preserve">Смена светильников с люминесцентными лампами, </t>
  </si>
  <si>
    <t xml:space="preserve">Смена отдельных участков внутренней проводки, </t>
  </si>
  <si>
    <t>электромонтер 3 раз.</t>
  </si>
  <si>
    <t>Замена предохранителей, 1 предохранитель</t>
  </si>
  <si>
    <t>НДС, руб.</t>
  </si>
  <si>
    <t xml:space="preserve">Смена вентиля, шт. </t>
  </si>
  <si>
    <r>
      <t xml:space="preserve">Примечание: в стоимость работ </t>
    </r>
    <r>
      <rPr>
        <b/>
        <i/>
        <sz val="11"/>
        <rFont val="Arial Cyr"/>
        <family val="2"/>
      </rPr>
      <t xml:space="preserve">не входит </t>
    </r>
    <r>
      <rPr>
        <sz val="11"/>
        <rFont val="Arial Cyr"/>
        <family val="2"/>
      </rPr>
      <t xml:space="preserve">стоимость материалов (кислорода, карбида </t>
    </r>
  </si>
  <si>
    <t>кальция, трубы, вентилей и т.д.)</t>
  </si>
  <si>
    <t xml:space="preserve">Итого </t>
  </si>
  <si>
    <t>Всего затрат:</t>
  </si>
  <si>
    <t xml:space="preserve">                                                                  Утверждаю:</t>
  </si>
  <si>
    <t xml:space="preserve">                                                                   _________Тычинин П. А.</t>
  </si>
  <si>
    <t>Начальник ФЭО:                                                          Воликова Н.В.</t>
  </si>
  <si>
    <t>Рентабельность - 25%</t>
  </si>
  <si>
    <t>Затраты на путь до объекта, чел/час.</t>
  </si>
  <si>
    <t>типа "Компакт"</t>
  </si>
  <si>
    <t>трального отопления (для ЖСК)</t>
  </si>
  <si>
    <t>отопления (для ЖСК)</t>
  </si>
  <si>
    <t>рабочего,</t>
  </si>
  <si>
    <t xml:space="preserve">Проф. </t>
  </si>
  <si>
    <t>мастер.,</t>
  </si>
  <si>
    <t>затрат,</t>
  </si>
  <si>
    <t>Прочистка и промывка сифонов санитарных</t>
  </si>
  <si>
    <t>приборов</t>
  </si>
  <si>
    <t>сифоны чугунные</t>
  </si>
  <si>
    <t>сифоны пластмассовые или латунные</t>
  </si>
  <si>
    <t>Добавление секции к радиаторному блоку</t>
  </si>
  <si>
    <t>Смена радиаторных блоков (по желанию жильца)</t>
  </si>
  <si>
    <t>ТЭР 16-034</t>
  </si>
  <si>
    <t>Устройство покрытий из линолеума насухо</t>
  </si>
  <si>
    <t>ТЭР 16-039</t>
  </si>
  <si>
    <t>Текущий</t>
  </si>
  <si>
    <t>ремонт</t>
  </si>
  <si>
    <t>10% от</t>
  </si>
  <si>
    <t>работ,</t>
  </si>
  <si>
    <t>платных сантехнических услуг для населения</t>
  </si>
  <si>
    <t>Воликова Н.В.</t>
  </si>
  <si>
    <t>пичу и бетону помещений площадью более</t>
  </si>
  <si>
    <t>Смена пакетных выключателей, 1 шт.</t>
  </si>
  <si>
    <t>Замена  лампы накаливания, 1 шт.</t>
  </si>
  <si>
    <t>Замена  люминесцентной лампы , 1 шт.</t>
  </si>
  <si>
    <t>Трудозатраты взяты по ТЭР 81-04(51-69) 2001</t>
  </si>
  <si>
    <t>Нарезка стекла (толщина стекла 3 мм) 3р.</t>
  </si>
  <si>
    <t>сопряжения: верхних 4р.</t>
  </si>
  <si>
    <t>сопряжения: нижних 4р.</t>
  </si>
  <si>
    <t>сопряжений 2 4р.</t>
  </si>
  <si>
    <t>строжка четвертей  (3р.)</t>
  </si>
  <si>
    <t>кой стекла) ( 3р.)</t>
  </si>
  <si>
    <t>Чел.цена</t>
  </si>
  <si>
    <t>14.01.326</t>
  </si>
  <si>
    <t xml:space="preserve">Олифа                                                        </t>
  </si>
  <si>
    <t>Мыло хоз.</t>
  </si>
  <si>
    <t>26.10.110</t>
  </si>
  <si>
    <t>11.02.302</t>
  </si>
  <si>
    <t xml:space="preserve"> по остаткам бухгалтерии</t>
  </si>
  <si>
    <t xml:space="preserve"> - / -</t>
  </si>
  <si>
    <t>Шпатлевка гипс. Универсальная</t>
  </si>
  <si>
    <t>по калькуляции</t>
  </si>
  <si>
    <t>мел сыромолотый</t>
  </si>
  <si>
    <t>13.01.117</t>
  </si>
  <si>
    <t>кой стекла) (3,6р.)</t>
  </si>
  <si>
    <t>стенах без снятия полотна  (3,4р.)</t>
  </si>
  <si>
    <t>стенах со снятием полотна  (3,4р.)</t>
  </si>
  <si>
    <t>ные  (3,9р.)</t>
  </si>
  <si>
    <t>Установка дверного замка (5р.)</t>
  </si>
  <si>
    <t>новых досок до 25% (3,1р.)</t>
  </si>
  <si>
    <t>Смена дверных приборов: замки врезные (3,9р.)</t>
  </si>
  <si>
    <t>со вставкой реек (3р.)</t>
  </si>
  <si>
    <t>месте (3р.)</t>
  </si>
  <si>
    <r>
      <t>катурке помещений площадью более 5 м</t>
    </r>
    <r>
      <rPr>
        <vertAlign val="superscript"/>
        <sz val="11"/>
        <rFont val="Arial Cyr"/>
        <family val="2"/>
      </rPr>
      <t>2(2,5р.)</t>
    </r>
  </si>
  <si>
    <r>
      <t>5 м</t>
    </r>
    <r>
      <rPr>
        <vertAlign val="superscript"/>
        <sz val="11"/>
        <rFont val="Arial Cyr"/>
        <family val="2"/>
      </rPr>
      <t>2  (2,7р.)</t>
    </r>
  </si>
  <si>
    <r>
      <t>катурке помещений площадью менее 5 м</t>
    </r>
    <r>
      <rPr>
        <vertAlign val="superscript"/>
        <sz val="11"/>
        <rFont val="Arial Cyr"/>
        <family val="2"/>
      </rPr>
      <t>2 (2,5р.)</t>
    </r>
  </si>
  <si>
    <r>
      <t>5 м</t>
    </r>
    <r>
      <rPr>
        <vertAlign val="superscript"/>
        <sz val="11"/>
        <rFont val="Arial Cyr"/>
        <family val="2"/>
      </rPr>
      <t>2 (2,5р.)</t>
    </r>
  </si>
  <si>
    <r>
      <t>менее 5 м</t>
    </r>
    <r>
      <rPr>
        <vertAlign val="superscript"/>
        <sz val="11"/>
        <rFont val="Arial Cyr"/>
        <family val="2"/>
      </rPr>
      <t>2 (3,1р.)</t>
    </r>
  </si>
  <si>
    <r>
      <t>более 5 м</t>
    </r>
    <r>
      <rPr>
        <vertAlign val="superscript"/>
        <sz val="11"/>
        <rFont val="Arial Cyr"/>
        <family val="2"/>
      </rPr>
      <t>2 (3,1р.)</t>
    </r>
  </si>
  <si>
    <r>
      <t>щадью более 5 м</t>
    </r>
    <r>
      <rPr>
        <vertAlign val="superscript"/>
        <sz val="11"/>
        <rFont val="Arial Cyr"/>
        <family val="2"/>
      </rPr>
      <t>2 (3,1р.)</t>
    </r>
  </si>
  <si>
    <r>
      <t>мещениях площадью более 5 м</t>
    </r>
    <r>
      <rPr>
        <vertAlign val="superscript"/>
        <sz val="11"/>
        <rFont val="Arial Cyr"/>
        <family val="2"/>
      </rPr>
      <t>2 (3р.)</t>
    </r>
  </si>
  <si>
    <r>
      <t>мещениях площадью менее 5 м</t>
    </r>
    <r>
      <rPr>
        <vertAlign val="superscript"/>
        <sz val="11"/>
        <rFont val="Arial Cyr"/>
        <family val="2"/>
      </rPr>
      <t>2     (3р.)</t>
    </r>
  </si>
  <si>
    <t xml:space="preserve">Устройство покрытий из линолеума на клее   (2,7р.) </t>
  </si>
  <si>
    <t>Установка наличников   (3р.)</t>
  </si>
  <si>
    <t>Устройство покрытий полов из ДВП (3,1р.)</t>
  </si>
  <si>
    <t>Смена наличников   (3р.)</t>
  </si>
  <si>
    <t>слесарь с/т (по среднему разряду 3,3) 1,1056</t>
  </si>
  <si>
    <t>Прокладка провода с механизированной пробивкой борозд</t>
  </si>
  <si>
    <t>Ремонт светильника,люстры</t>
  </si>
  <si>
    <t>Смена звонка с кнопкой</t>
  </si>
  <si>
    <t>Демонтаж распределительной коробки</t>
  </si>
  <si>
    <t>Монтаж распределительной коробки</t>
  </si>
  <si>
    <t>Ремонт электрического звонка</t>
  </si>
  <si>
    <t>Савчук Е.Е.</t>
  </si>
  <si>
    <t>Орлова С.Р.</t>
  </si>
  <si>
    <r>
      <t xml:space="preserve">Примечание: в стоимость работ </t>
    </r>
    <r>
      <rPr>
        <b/>
        <i/>
        <sz val="11"/>
        <rFont val="Times New Roman"/>
        <family val="1"/>
      </rPr>
      <t>не входит</t>
    </r>
    <r>
      <rPr>
        <sz val="11"/>
        <rFont val="Times New Roman"/>
        <family val="1"/>
      </rPr>
      <t>стоимость материалов (провода, розеток, электросчетчиков и т.д.)</t>
    </r>
  </si>
  <si>
    <t>одной или двух средних</t>
  </si>
  <si>
    <t xml:space="preserve">                                                       Утверждаю:</t>
  </si>
  <si>
    <t xml:space="preserve">                       </t>
  </si>
  <si>
    <t>К А Л Ь К У Л Я Ц И Я</t>
  </si>
  <si>
    <t>№ пп</t>
  </si>
  <si>
    <t>Статьи  затрат</t>
  </si>
  <si>
    <t>Сумма, руб.</t>
  </si>
  <si>
    <t xml:space="preserve">Зарплата:  </t>
  </si>
  <si>
    <t>1.1  отсоединение  концов  проводов ,  вытягивание  проводов</t>
  </si>
  <si>
    <t xml:space="preserve"> из  труб  и  каналов ,  присоединение  концов  провода  к  зажимам</t>
  </si>
  <si>
    <t>распред.щитков  и  коробок  2,5 м  ("Методика…",часть 1, п.3.1)</t>
  </si>
  <si>
    <t>1м - 0,2часа;    2,5 м  -  0,5 часа</t>
  </si>
  <si>
    <t>время  в  пути  -  1 час</t>
  </si>
  <si>
    <t>эл.монтер  3 раз.- 1 чел.</t>
  </si>
  <si>
    <t>техник  8 раз.- 1чел.</t>
  </si>
  <si>
    <t>Итого  ФОТ</t>
  </si>
  <si>
    <t xml:space="preserve">Всего   к  оплате  с  НДС </t>
  </si>
  <si>
    <t>Начальник   ФЭО</t>
  </si>
  <si>
    <t>Исполнитель: экономист</t>
  </si>
  <si>
    <t>НДС  18 %</t>
  </si>
  <si>
    <t>09.03.120</t>
  </si>
  <si>
    <t>08.05.0895</t>
  </si>
  <si>
    <t>Гвозди, кг</t>
  </si>
  <si>
    <t>Штапик, п/м</t>
  </si>
  <si>
    <t>Клей ПВА, кг</t>
  </si>
  <si>
    <t>13.01.1751</t>
  </si>
  <si>
    <t>Шлифовальная шкурка, п/м</t>
  </si>
  <si>
    <t>Шеметова И.А.</t>
  </si>
  <si>
    <t xml:space="preserve">                                                                                   Утверждаю:</t>
  </si>
  <si>
    <t xml:space="preserve"> </t>
  </si>
  <si>
    <t xml:space="preserve">                                                                                    _________________ П.А. Тычинин</t>
  </si>
  <si>
    <t>Обоснование</t>
  </si>
  <si>
    <t xml:space="preserve">                                                                             Утверждаю:</t>
  </si>
  <si>
    <t xml:space="preserve">                                                              _________________ П.А. Тычинин</t>
  </si>
  <si>
    <t xml:space="preserve">                                                                                   Генеральный директор  ОАО "ЖРЭУ № 3"</t>
  </si>
  <si>
    <t xml:space="preserve"> -ставка 1 разряда</t>
  </si>
  <si>
    <t xml:space="preserve"> -ср.месячный фонд р.вр.</t>
  </si>
  <si>
    <t xml:space="preserve"> -ур.к-нт</t>
  </si>
  <si>
    <t xml:space="preserve"> -премия</t>
  </si>
  <si>
    <t>Коэффициенты</t>
  </si>
  <si>
    <t>1 разряд</t>
  </si>
  <si>
    <t>2 разряд</t>
  </si>
  <si>
    <t>3 разряд</t>
  </si>
  <si>
    <t>4 разряд</t>
  </si>
  <si>
    <t>5 разряд</t>
  </si>
  <si>
    <t>6 разряд</t>
  </si>
  <si>
    <t>3,5 разряд</t>
  </si>
  <si>
    <t xml:space="preserve"> -проф.мастерство</t>
  </si>
  <si>
    <t xml:space="preserve"> -начисления</t>
  </si>
  <si>
    <t>Рентабель- ность, руб.</t>
  </si>
  <si>
    <t>Текущий ремонт</t>
  </si>
  <si>
    <t xml:space="preserve"> от затрат,</t>
  </si>
  <si>
    <t>с 01.02.2010 г.</t>
  </si>
  <si>
    <t>Замена автоматического выключателя, 1 выключатель</t>
  </si>
  <si>
    <t xml:space="preserve">Цеховые расходы </t>
  </si>
  <si>
    <t xml:space="preserve">Наклад-ные рас-ходы </t>
  </si>
  <si>
    <t>Шкунова А.А.</t>
  </si>
  <si>
    <t>Замена универсального переключателя,1 переключатель</t>
  </si>
  <si>
    <r>
      <t xml:space="preserve">Подключение и отключение сварочного аппарата,                    </t>
    </r>
    <r>
      <rPr>
        <sz val="11"/>
        <rFont val="Times New Roman"/>
        <family val="1"/>
      </rPr>
      <t>( электромонтер 3р.)</t>
    </r>
  </si>
  <si>
    <t>Накладные  расходы  64,3 %  от  ФОТ</t>
  </si>
  <si>
    <t>Начисление  на  з/плату  26,2%</t>
  </si>
  <si>
    <t>(3500*1,09*1,35*1,15+3500*1,09*0,3*1,15)/165,6*1,5</t>
  </si>
  <si>
    <t>(3500*1,699*1,5*1,15+3500*1,699*0,3*1,15)/165,6*1,5</t>
  </si>
  <si>
    <t>с  01.02.2010</t>
  </si>
  <si>
    <t>Рентабельность 5 %</t>
  </si>
  <si>
    <t>Итого с рентабельностью</t>
  </si>
  <si>
    <t>на  отключение / подключение    электроэнергии   задолжникам</t>
  </si>
  <si>
    <t>по  квартплате.</t>
  </si>
  <si>
    <t xml:space="preserve">                                                      Генеральный директор ОАО  ЖРЭУ №3</t>
  </si>
  <si>
    <t xml:space="preserve">                                                       ______________________   П.А.Тычинин</t>
  </si>
  <si>
    <t>Цеховые расходы 27,5% от ФОТ</t>
  </si>
  <si>
    <t xml:space="preserve">Доплата за </t>
  </si>
  <si>
    <t>вредность,</t>
  </si>
  <si>
    <t xml:space="preserve">                                                                                         Утверждаю:</t>
  </si>
  <si>
    <t xml:space="preserve">                                                                 ____________ П.А. Тычинин</t>
  </si>
  <si>
    <t>с 01.05.2010 г.</t>
  </si>
  <si>
    <t>Агаркова Л.Ф.</t>
  </si>
  <si>
    <t xml:space="preserve">                                   Утверждаю:</t>
  </si>
  <si>
    <t>Установка водогрейки</t>
  </si>
  <si>
    <t>ОАО "ЖРЭУ № 3"</t>
  </si>
  <si>
    <t>Замена катриджа в смесителе</t>
  </si>
  <si>
    <t>ТЭР 11-01-035-04</t>
  </si>
  <si>
    <t>Устройство покрытий полов из ДСП (5р.)</t>
  </si>
  <si>
    <t>40/1</t>
  </si>
  <si>
    <t>Разборка дощатых оснований щитового паркета</t>
  </si>
  <si>
    <t>ТЭР 16-004</t>
  </si>
  <si>
    <t>с газосваркой- газосварщик 4 раз</t>
  </si>
  <si>
    <t>Приложение № 6</t>
  </si>
  <si>
    <t>Ведущий экономист:</t>
  </si>
  <si>
    <t>Смена розеток с штроблением гнезда, 1 шт.</t>
  </si>
  <si>
    <t>Демидов Д.Г.</t>
  </si>
  <si>
    <t xml:space="preserve">Начальник эл.службы </t>
  </si>
  <si>
    <t>Еремеев А.П.</t>
  </si>
  <si>
    <t>на основании локального сметного расчета</t>
  </si>
  <si>
    <t>Установка водомера на пластиковую трубу</t>
  </si>
  <si>
    <t>Установка водомера на металлическую трубу</t>
  </si>
  <si>
    <t>с  01.01.2011</t>
  </si>
  <si>
    <t>Накладные  расходы  78 %  от  ФОТ</t>
  </si>
  <si>
    <t>Начисление  на  з/плату  34,2%</t>
  </si>
  <si>
    <t>(3780*1,09*1,35*1,15+3780*1,09*0,3*1,15)/165,6*1,5</t>
  </si>
  <si>
    <t>(3780*1,699*1,5*1,15+3780*1,699*0,3*1,15)/165,6*1,5</t>
  </si>
  <si>
    <t>Исполнитель: ведущий экономист</t>
  </si>
  <si>
    <t xml:space="preserve"> К А  Л Ь К У Л Я Ц И Я</t>
  </si>
  <si>
    <t xml:space="preserve"> стоимости  оформления договора </t>
  </si>
  <si>
    <t>Накладные расходы - 78% от ФОТ</t>
  </si>
  <si>
    <t>Смена дверных/оконных петель при смене одной петле в полотне</t>
  </si>
  <si>
    <t>1шт</t>
  </si>
  <si>
    <t>Смена дверных/оконных петель при смене двух петель в полотне</t>
  </si>
  <si>
    <t>Смена пружины</t>
  </si>
  <si>
    <t>Смена ручки дверной</t>
  </si>
  <si>
    <t>Смена шпингалета</t>
  </si>
  <si>
    <t>Зарплата техника - 8 раз.</t>
  </si>
  <si>
    <t>(3780*1,699*1,4*1,15)/165,6*0,3</t>
  </si>
  <si>
    <t>Зарплата начальника ЖЭУ - 12 раз.</t>
  </si>
  <si>
    <t>(3780*2,423*1,4*1,15)/165,6*0,08</t>
  </si>
  <si>
    <t>Проф. мастерство</t>
  </si>
  <si>
    <t>(3780*2,423*0,4)/165,6*0,08</t>
  </si>
  <si>
    <t>Начисление  на з/плату 34,2%</t>
  </si>
  <si>
    <t>Итого з/пл с отчислениями:</t>
  </si>
  <si>
    <t>Стоимость бланка договора - 1 шт</t>
  </si>
  <si>
    <t>Итого:</t>
  </si>
  <si>
    <t>(3780*1,699*0,4)/165,6*0,3</t>
  </si>
  <si>
    <t>Ведущий экономист:                                                       Агаркова Л.Ф..</t>
  </si>
  <si>
    <t xml:space="preserve"> стоимости  оформления договора отдела КДО ОАО "ЖРЭУ №3"</t>
  </si>
  <si>
    <t>Зарплата экономиста по договорам -10 раз.</t>
  </si>
  <si>
    <t>Стоимость бланка договора - 2 шт</t>
  </si>
  <si>
    <t>Зарплата инженера  -10 раз.</t>
  </si>
  <si>
    <t>Ежемесячный осмотр лифтов по уборке и работе в жилых  домах (согласно графика)</t>
  </si>
  <si>
    <t>Ежемесячная выборка по простоям лифтов более 1-х суток (совместо с ЖЭУ)</t>
  </si>
  <si>
    <t>Составление актов, совместно с ООО "Лифт" по простоям лифтов более 1-х суток, встреча на объекте, осмотр лифта.</t>
  </si>
  <si>
    <t>По умышленным поломкам (поджог, кража) встреча на месте и сбор справок.</t>
  </si>
  <si>
    <t>Ежемесячный надзор  по экспертизе лифтов и ТО "Диагностика"</t>
  </si>
  <si>
    <t>Подготовка проектной документации, составление технических заданий по проектированию</t>
  </si>
  <si>
    <t>Составление писем для заключения договоров с ЗАО МНТЦ "Диагностика", ООО "Лифт"</t>
  </si>
  <si>
    <t>Отслеживание графика по капитальному ремонту лифтов.</t>
  </si>
  <si>
    <t>Постоянный контроль за проведением работ во время капитального ремонта по замене лифтов.</t>
  </si>
  <si>
    <t>Приложение к договору №</t>
  </si>
  <si>
    <t>Статьи работ</t>
  </si>
  <si>
    <t>Еженедельный осмотр журнала по остановкам в центральных диспетчерских службах</t>
  </si>
  <si>
    <t xml:space="preserve"> стоимости  услуг по  техническому надзору лифтов ОАО "ЖРЭУ №3"</t>
  </si>
  <si>
    <t>с   01.02.2011 г.</t>
  </si>
  <si>
    <t xml:space="preserve"> К А Л Ь К У Л Я Ц И Я</t>
  </si>
  <si>
    <t xml:space="preserve">                                                      Генеральный директор ООО  ЖРЭУ №3</t>
  </si>
  <si>
    <t xml:space="preserve">                                                             Генеральный директор  ООО "ЖРЭУ № 3"</t>
  </si>
  <si>
    <t>с 01.02.2011 г.</t>
  </si>
  <si>
    <t xml:space="preserve">                                                                                   Генеральный директор  ООО "ЖРЭУ № 3"</t>
  </si>
  <si>
    <t xml:space="preserve">                                                    Генеральный директор ООО "ЖРЭУ № 3"</t>
  </si>
  <si>
    <t xml:space="preserve">                                                           Генеральный директор ООО "ЖРЭУ № 3"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</si>
</sst>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"/>
    <numFmt numFmtId="168" formatCode="0.0000000"/>
    <numFmt numFmtId="169" formatCode="0.00000000"/>
    <numFmt numFmtId="170" formatCode="0.0%"/>
    <numFmt numFmtId="171" formatCode="0.000%"/>
    <numFmt numFmtId="172" formatCode="0.0000%"/>
    <numFmt numFmtId="173" formatCode="0.00000%"/>
    <numFmt numFmtId="174" formatCode="0.000000%"/>
    <numFmt numFmtId="175" formatCode="0.0000000%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1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i/>
      <u val="single"/>
      <sz val="11"/>
      <name val="Arial Cyr"/>
      <family val="2"/>
    </font>
    <font>
      <i/>
      <sz val="11"/>
      <name val="Arial Cyr"/>
      <family val="2"/>
    </font>
    <font>
      <b/>
      <i/>
      <u val="single"/>
      <sz val="11"/>
      <name val="Arial Cyr"/>
      <family val="2"/>
    </font>
    <font>
      <b/>
      <i/>
      <sz val="11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vertAlign val="superscript"/>
      <sz val="11"/>
      <name val="Arial Cyr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Arial Cyr"/>
      <family val="2"/>
    </font>
    <font>
      <sz val="11"/>
      <color indexed="8"/>
      <name val="Times New Roman"/>
      <family val="1"/>
    </font>
    <font>
      <sz val="14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10" fontId="4" fillId="0" borderId="15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/>
    </xf>
    <xf numFmtId="10" fontId="4" fillId="0" borderId="15" xfId="0" applyNumberFormat="1" applyFont="1" applyBorder="1" applyAlignment="1">
      <alignment/>
    </xf>
    <xf numFmtId="10" fontId="4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2" fontId="4" fillId="0" borderId="15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166" fontId="4" fillId="0" borderId="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0" fontId="4" fillId="0" borderId="18" xfId="0" applyFont="1" applyBorder="1" applyAlignment="1">
      <alignment horizontal="center"/>
    </xf>
    <xf numFmtId="166" fontId="4" fillId="0" borderId="18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0" fontId="4" fillId="0" borderId="0" xfId="0" applyFont="1" applyAlignment="1">
      <alignment horizontal="center"/>
    </xf>
    <xf numFmtId="2" fontId="4" fillId="0" borderId="2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9" fontId="4" fillId="0" borderId="16" xfId="0" applyNumberFormat="1" applyFont="1" applyBorder="1" applyAlignment="1">
      <alignment horizontal="center"/>
    </xf>
    <xf numFmtId="9" fontId="4" fillId="0" borderId="14" xfId="0" applyNumberFormat="1" applyFont="1" applyBorder="1" applyAlignment="1">
      <alignment horizontal="center"/>
    </xf>
    <xf numFmtId="170" fontId="4" fillId="0" borderId="14" xfId="0" applyNumberFormat="1" applyFont="1" applyBorder="1" applyAlignment="1">
      <alignment horizontal="center"/>
    </xf>
    <xf numFmtId="170" fontId="4" fillId="0" borderId="16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23" xfId="0" applyFont="1" applyBorder="1" applyAlignment="1">
      <alignment horizontal="left"/>
    </xf>
    <xf numFmtId="176" fontId="4" fillId="0" borderId="22" xfId="0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3" fillId="0" borderId="27" xfId="0" applyFont="1" applyBorder="1" applyAlignment="1">
      <alignment/>
    </xf>
    <xf numFmtId="0" fontId="6" fillId="0" borderId="27" xfId="0" applyFont="1" applyBorder="1" applyAlignment="1">
      <alignment/>
    </xf>
    <xf numFmtId="176" fontId="4" fillId="0" borderId="26" xfId="0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2" fontId="4" fillId="0" borderId="28" xfId="0" applyNumberFormat="1" applyFont="1" applyBorder="1" applyAlignment="1">
      <alignment/>
    </xf>
    <xf numFmtId="2" fontId="4" fillId="0" borderId="26" xfId="0" applyNumberFormat="1" applyFont="1" applyBorder="1" applyAlignment="1">
      <alignment/>
    </xf>
    <xf numFmtId="0" fontId="4" fillId="0" borderId="29" xfId="0" applyFont="1" applyBorder="1" applyAlignment="1">
      <alignment/>
    </xf>
    <xf numFmtId="2" fontId="4" fillId="0" borderId="29" xfId="0" applyNumberFormat="1" applyFont="1" applyBorder="1" applyAlignment="1">
      <alignment/>
    </xf>
    <xf numFmtId="2" fontId="4" fillId="0" borderId="3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27" xfId="0" applyFont="1" applyBorder="1" applyAlignment="1">
      <alignment horizontal="center"/>
    </xf>
    <xf numFmtId="176" fontId="4" fillId="0" borderId="25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6" fillId="0" borderId="32" xfId="0" applyFont="1" applyBorder="1" applyAlignment="1">
      <alignment/>
    </xf>
    <xf numFmtId="10" fontId="4" fillId="0" borderId="17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2" fontId="4" fillId="0" borderId="24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0" fontId="6" fillId="0" borderId="22" xfId="0" applyFont="1" applyBorder="1" applyAlignment="1">
      <alignment/>
    </xf>
    <xf numFmtId="0" fontId="4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2" fontId="4" fillId="0" borderId="26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6" fillId="0" borderId="15" xfId="0" applyFont="1" applyBorder="1" applyAlignment="1">
      <alignment/>
    </xf>
    <xf numFmtId="0" fontId="7" fillId="0" borderId="16" xfId="0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0" fontId="3" fillId="0" borderId="31" xfId="0" applyFont="1" applyFill="1" applyBorder="1" applyAlignment="1">
      <alignment/>
    </xf>
    <xf numFmtId="2" fontId="4" fillId="0" borderId="21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11" fillId="0" borderId="0" xfId="0" applyFont="1" applyAlignment="1">
      <alignment/>
    </xf>
    <xf numFmtId="166" fontId="4" fillId="0" borderId="20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4" xfId="0" applyFont="1" applyBorder="1" applyAlignment="1">
      <alignment horizontal="left" indent="1"/>
    </xf>
    <xf numFmtId="0" fontId="14" fillId="0" borderId="15" xfId="0" applyFont="1" applyBorder="1" applyAlignment="1">
      <alignment/>
    </xf>
    <xf numFmtId="1" fontId="14" fillId="0" borderId="16" xfId="0" applyNumberFormat="1" applyFont="1" applyBorder="1" applyAlignment="1">
      <alignment horizontal="center"/>
    </xf>
    <xf numFmtId="2" fontId="14" fillId="0" borderId="16" xfId="0" applyNumberFormat="1" applyFont="1" applyBorder="1" applyAlignment="1">
      <alignment horizontal="right"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horizontal="right"/>
    </xf>
    <xf numFmtId="0" fontId="14" fillId="0" borderId="14" xfId="0" applyFont="1" applyBorder="1" applyAlignment="1">
      <alignment horizontal="left" indent="2"/>
    </xf>
    <xf numFmtId="0" fontId="12" fillId="0" borderId="15" xfId="0" applyFont="1" applyBorder="1" applyAlignment="1">
      <alignment/>
    </xf>
    <xf numFmtId="2" fontId="12" fillId="0" borderId="16" xfId="0" applyNumberFormat="1" applyFont="1" applyBorder="1" applyAlignment="1">
      <alignment horizontal="right"/>
    </xf>
    <xf numFmtId="0" fontId="14" fillId="0" borderId="17" xfId="0" applyFont="1" applyBorder="1" applyAlignment="1">
      <alignment/>
    </xf>
    <xf numFmtId="0" fontId="12" fillId="0" borderId="18" xfId="0" applyFont="1" applyBorder="1" applyAlignment="1">
      <alignment/>
    </xf>
    <xf numFmtId="2" fontId="12" fillId="0" borderId="19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2" fontId="16" fillId="0" borderId="0" xfId="0" applyNumberFormat="1" applyFont="1" applyBorder="1" applyAlignment="1">
      <alignment/>
    </xf>
    <xf numFmtId="1" fontId="16" fillId="0" borderId="0" xfId="0" applyNumberFormat="1" applyFont="1" applyBorder="1" applyAlignment="1">
      <alignment/>
    </xf>
    <xf numFmtId="0" fontId="15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16" fillId="0" borderId="16" xfId="0" applyFont="1" applyBorder="1" applyAlignment="1">
      <alignment/>
    </xf>
    <xf numFmtId="0" fontId="16" fillId="0" borderId="16" xfId="0" applyFont="1" applyBorder="1" applyAlignment="1">
      <alignment horizontal="center"/>
    </xf>
    <xf numFmtId="170" fontId="16" fillId="0" borderId="14" xfId="0" applyNumberFormat="1" applyFont="1" applyBorder="1" applyAlignment="1">
      <alignment horizontal="center"/>
    </xf>
    <xf numFmtId="9" fontId="16" fillId="0" borderId="0" xfId="0" applyNumberFormat="1" applyFont="1" applyBorder="1" applyAlignment="1">
      <alignment/>
    </xf>
    <xf numFmtId="10" fontId="16" fillId="0" borderId="0" xfId="0" applyNumberFormat="1" applyFont="1" applyBorder="1" applyAlignment="1">
      <alignment/>
    </xf>
    <xf numFmtId="170" fontId="16" fillId="0" borderId="0" xfId="0" applyNumberFormat="1" applyFont="1" applyBorder="1" applyAlignment="1">
      <alignment/>
    </xf>
    <xf numFmtId="9" fontId="15" fillId="0" borderId="0" xfId="0" applyNumberFormat="1" applyFont="1" applyBorder="1" applyAlignment="1">
      <alignment horizontal="center"/>
    </xf>
    <xf numFmtId="9" fontId="16" fillId="0" borderId="16" xfId="0" applyNumberFormat="1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/>
    </xf>
    <xf numFmtId="10" fontId="16" fillId="0" borderId="34" xfId="0" applyNumberFormat="1" applyFont="1" applyBorder="1" applyAlignment="1">
      <alignment horizontal="center"/>
    </xf>
    <xf numFmtId="10" fontId="16" fillId="0" borderId="35" xfId="0" applyNumberFormat="1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4" xfId="0" applyFont="1" applyBorder="1" applyAlignment="1">
      <alignment/>
    </xf>
    <xf numFmtId="2" fontId="16" fillId="0" borderId="22" xfId="0" applyNumberFormat="1" applyFont="1" applyBorder="1" applyAlignment="1">
      <alignment/>
    </xf>
    <xf numFmtId="2" fontId="16" fillId="0" borderId="24" xfId="0" applyNumberFormat="1" applyFont="1" applyBorder="1" applyAlignment="1">
      <alignment/>
    </xf>
    <xf numFmtId="176" fontId="16" fillId="0" borderId="22" xfId="0" applyNumberFormat="1" applyFont="1" applyBorder="1" applyAlignment="1">
      <alignment/>
    </xf>
    <xf numFmtId="176" fontId="16" fillId="0" borderId="24" xfId="0" applyNumberFormat="1" applyFont="1" applyBorder="1" applyAlignment="1">
      <alignment/>
    </xf>
    <xf numFmtId="0" fontId="16" fillId="0" borderId="26" xfId="0" applyFont="1" applyBorder="1" applyAlignment="1">
      <alignment/>
    </xf>
    <xf numFmtId="2" fontId="16" fillId="0" borderId="26" xfId="0" applyNumberFormat="1" applyFont="1" applyBorder="1" applyAlignment="1">
      <alignment/>
    </xf>
    <xf numFmtId="2" fontId="16" fillId="0" borderId="28" xfId="0" applyNumberFormat="1" applyFont="1" applyBorder="1" applyAlignment="1">
      <alignment/>
    </xf>
    <xf numFmtId="0" fontId="16" fillId="0" borderId="29" xfId="0" applyFont="1" applyBorder="1" applyAlignment="1">
      <alignment/>
    </xf>
    <xf numFmtId="2" fontId="16" fillId="0" borderId="29" xfId="0" applyNumberFormat="1" applyFont="1" applyBorder="1" applyAlignment="1">
      <alignment/>
    </xf>
    <xf numFmtId="2" fontId="16" fillId="0" borderId="30" xfId="0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2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 vertical="center"/>
    </xf>
    <xf numFmtId="2" fontId="4" fillId="0" borderId="16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2" fontId="4" fillId="0" borderId="15" xfId="0" applyNumberFormat="1" applyFont="1" applyFill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9" fontId="4" fillId="0" borderId="19" xfId="0" applyNumberFormat="1" applyFont="1" applyBorder="1" applyAlignment="1">
      <alignment horizontal="center"/>
    </xf>
    <xf numFmtId="0" fontId="4" fillId="0" borderId="29" xfId="0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2" fontId="4" fillId="0" borderId="30" xfId="0" applyNumberFormat="1" applyFont="1" applyFill="1" applyBorder="1" applyAlignment="1">
      <alignment/>
    </xf>
    <xf numFmtId="0" fontId="4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2" fontId="4" fillId="0" borderId="22" xfId="0" applyNumberFormat="1" applyFont="1" applyBorder="1" applyAlignment="1">
      <alignment vertical="center" wrapText="1"/>
    </xf>
    <xf numFmtId="2" fontId="4" fillId="0" borderId="24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9" fontId="3" fillId="0" borderId="16" xfId="0" applyNumberFormat="1" applyFont="1" applyBorder="1" applyAlignment="1">
      <alignment horizontal="center"/>
    </xf>
    <xf numFmtId="9" fontId="3" fillId="0" borderId="19" xfId="0" applyNumberFormat="1" applyFont="1" applyBorder="1" applyAlignment="1">
      <alignment horizontal="center"/>
    </xf>
    <xf numFmtId="0" fontId="16" fillId="33" borderId="0" xfId="0" applyFont="1" applyFill="1" applyBorder="1" applyAlignment="1">
      <alignment/>
    </xf>
    <xf numFmtId="2" fontId="16" fillId="0" borderId="22" xfId="0" applyNumberFormat="1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34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2" fontId="16" fillId="0" borderId="26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170" fontId="4" fillId="34" borderId="14" xfId="0" applyNumberFormat="1" applyFont="1" applyFill="1" applyBorder="1" applyAlignment="1">
      <alignment horizontal="center"/>
    </xf>
    <xf numFmtId="170" fontId="4" fillId="34" borderId="15" xfId="0" applyNumberFormat="1" applyFont="1" applyFill="1" applyBorder="1" applyAlignment="1">
      <alignment horizontal="center"/>
    </xf>
    <xf numFmtId="170" fontId="4" fillId="34" borderId="17" xfId="0" applyNumberFormat="1" applyFont="1" applyFill="1" applyBorder="1" applyAlignment="1">
      <alignment horizontal="center"/>
    </xf>
    <xf numFmtId="170" fontId="4" fillId="34" borderId="18" xfId="0" applyNumberFormat="1" applyFont="1" applyFill="1" applyBorder="1" applyAlignment="1">
      <alignment horizontal="center"/>
    </xf>
    <xf numFmtId="0" fontId="4" fillId="34" borderId="21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2" fontId="4" fillId="34" borderId="24" xfId="0" applyNumberFormat="1" applyFont="1" applyFill="1" applyBorder="1" applyAlignment="1">
      <alignment/>
    </xf>
    <xf numFmtId="176" fontId="4" fillId="34" borderId="24" xfId="0" applyNumberFormat="1" applyFont="1" applyFill="1" applyBorder="1" applyAlignment="1">
      <alignment/>
    </xf>
    <xf numFmtId="176" fontId="4" fillId="34" borderId="28" xfId="0" applyNumberFormat="1" applyFont="1" applyFill="1" applyBorder="1" applyAlignment="1">
      <alignment/>
    </xf>
    <xf numFmtId="2" fontId="4" fillId="34" borderId="28" xfId="0" applyNumberFormat="1" applyFont="1" applyFill="1" applyBorder="1" applyAlignment="1">
      <alignment/>
    </xf>
    <xf numFmtId="176" fontId="4" fillId="34" borderId="21" xfId="0" applyNumberFormat="1" applyFont="1" applyFill="1" applyBorder="1" applyAlignment="1">
      <alignment/>
    </xf>
    <xf numFmtId="2" fontId="4" fillId="34" borderId="21" xfId="0" applyNumberFormat="1" applyFont="1" applyFill="1" applyBorder="1" applyAlignment="1">
      <alignment/>
    </xf>
    <xf numFmtId="2" fontId="4" fillId="34" borderId="22" xfId="0" applyNumberFormat="1" applyFont="1" applyFill="1" applyBorder="1" applyAlignment="1">
      <alignment/>
    </xf>
    <xf numFmtId="2" fontId="4" fillId="34" borderId="24" xfId="0" applyNumberFormat="1" applyFont="1" applyFill="1" applyBorder="1" applyAlignment="1">
      <alignment vertical="center" wrapText="1"/>
    </xf>
    <xf numFmtId="2" fontId="4" fillId="34" borderId="30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17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5" xfId="0" applyFont="1" applyFill="1" applyBorder="1" applyAlignment="1">
      <alignment vertical="center"/>
    </xf>
    <xf numFmtId="2" fontId="4" fillId="0" borderId="18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70" fontId="4" fillId="0" borderId="16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2" fontId="4" fillId="0" borderId="2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/>
    </xf>
    <xf numFmtId="2" fontId="4" fillId="0" borderId="18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170" fontId="16" fillId="0" borderId="14" xfId="0" applyNumberFormat="1" applyFont="1" applyFill="1" applyBorder="1" applyAlignment="1">
      <alignment horizontal="center"/>
    </xf>
    <xf numFmtId="170" fontId="16" fillId="0" borderId="15" xfId="0" applyNumberFormat="1" applyFont="1" applyFill="1" applyBorder="1" applyAlignment="1">
      <alignment horizontal="center"/>
    </xf>
    <xf numFmtId="10" fontId="16" fillId="0" borderId="34" xfId="0" applyNumberFormat="1" applyFont="1" applyFill="1" applyBorder="1" applyAlignment="1">
      <alignment horizontal="center"/>
    </xf>
    <xf numFmtId="170" fontId="16" fillId="0" borderId="3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/>
    </xf>
    <xf numFmtId="2" fontId="16" fillId="0" borderId="24" xfId="0" applyNumberFormat="1" applyFont="1" applyFill="1" applyBorder="1" applyAlignment="1">
      <alignment/>
    </xf>
    <xf numFmtId="176" fontId="16" fillId="0" borderId="24" xfId="0" applyNumberFormat="1" applyFont="1" applyFill="1" applyBorder="1" applyAlignment="1">
      <alignment/>
    </xf>
    <xf numFmtId="2" fontId="16" fillId="0" borderId="28" xfId="0" applyNumberFormat="1" applyFont="1" applyFill="1" applyBorder="1" applyAlignment="1">
      <alignment/>
    </xf>
    <xf numFmtId="2" fontId="16" fillId="0" borderId="30" xfId="0" applyNumberFormat="1" applyFont="1" applyFill="1" applyBorder="1" applyAlignment="1">
      <alignment/>
    </xf>
    <xf numFmtId="2" fontId="16" fillId="0" borderId="17" xfId="0" applyNumberFormat="1" applyFont="1" applyBorder="1" applyAlignment="1">
      <alignment/>
    </xf>
    <xf numFmtId="2" fontId="16" fillId="0" borderId="17" xfId="0" applyNumberFormat="1" applyFont="1" applyFill="1" applyBorder="1" applyAlignment="1">
      <alignment/>
    </xf>
    <xf numFmtId="0" fontId="15" fillId="0" borderId="22" xfId="0" applyFont="1" applyBorder="1" applyAlignment="1">
      <alignment wrapText="1"/>
    </xf>
    <xf numFmtId="0" fontId="16" fillId="0" borderId="36" xfId="0" applyFont="1" applyBorder="1" applyAlignment="1">
      <alignment/>
    </xf>
    <xf numFmtId="0" fontId="16" fillId="0" borderId="36" xfId="0" applyFont="1" applyFill="1" applyBorder="1" applyAlignment="1">
      <alignment/>
    </xf>
    <xf numFmtId="0" fontId="16" fillId="0" borderId="37" xfId="0" applyFont="1" applyBorder="1" applyAlignment="1">
      <alignment/>
    </xf>
    <xf numFmtId="0" fontId="16" fillId="0" borderId="37" xfId="0" applyFont="1" applyFill="1" applyBorder="1" applyAlignment="1">
      <alignment/>
    </xf>
    <xf numFmtId="0" fontId="16" fillId="0" borderId="17" xfId="0" applyFont="1" applyBorder="1" applyAlignment="1">
      <alignment vertical="center"/>
    </xf>
    <xf numFmtId="0" fontId="16" fillId="0" borderId="34" xfId="0" applyFont="1" applyBorder="1" applyAlignment="1">
      <alignment horizontal="center"/>
    </xf>
    <xf numFmtId="0" fontId="16" fillId="0" borderId="28" xfId="0" applyFont="1" applyBorder="1" applyAlignment="1">
      <alignment/>
    </xf>
    <xf numFmtId="0" fontId="16" fillId="0" borderId="28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5" fillId="0" borderId="22" xfId="0" applyFont="1" applyBorder="1" applyAlignment="1">
      <alignment/>
    </xf>
    <xf numFmtId="0" fontId="17" fillId="0" borderId="22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26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2" fontId="16" fillId="33" borderId="22" xfId="0" applyNumberFormat="1" applyFont="1" applyFill="1" applyBorder="1" applyAlignment="1">
      <alignment/>
    </xf>
    <xf numFmtId="2" fontId="16" fillId="33" borderId="29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9" fontId="16" fillId="0" borderId="18" xfId="0" applyNumberFormat="1" applyFont="1" applyBorder="1" applyAlignment="1">
      <alignment vertical="center" wrapText="1"/>
    </xf>
    <xf numFmtId="9" fontId="16" fillId="0" borderId="15" xfId="0" applyNumberFormat="1" applyFont="1" applyBorder="1" applyAlignment="1">
      <alignment horizontal="center" vertical="center" wrapText="1"/>
    </xf>
    <xf numFmtId="9" fontId="16" fillId="0" borderId="18" xfId="0" applyNumberFormat="1" applyFont="1" applyBorder="1" applyAlignment="1">
      <alignment horizontal="center" vertical="center" wrapText="1"/>
    </xf>
    <xf numFmtId="10" fontId="0" fillId="0" borderId="18" xfId="0" applyNumberFormat="1" applyBorder="1" applyAlignment="1">
      <alignment vertical="center" wrapText="1"/>
    </xf>
    <xf numFmtId="9" fontId="4" fillId="0" borderId="15" xfId="0" applyNumberFormat="1" applyFont="1" applyFill="1" applyBorder="1" applyAlignment="1">
      <alignment horizontal="center"/>
    </xf>
    <xf numFmtId="166" fontId="4" fillId="0" borderId="22" xfId="0" applyNumberFormat="1" applyFont="1" applyFill="1" applyBorder="1" applyAlignment="1">
      <alignment/>
    </xf>
    <xf numFmtId="0" fontId="4" fillId="0" borderId="2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20" fillId="0" borderId="11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20" fillId="0" borderId="15" xfId="0" applyFont="1" applyBorder="1" applyAlignment="1">
      <alignment/>
    </xf>
    <xf numFmtId="2" fontId="10" fillId="0" borderId="15" xfId="0" applyNumberFormat="1" applyFont="1" applyBorder="1" applyAlignment="1">
      <alignment horizontal="center"/>
    </xf>
    <xf numFmtId="0" fontId="20" fillId="0" borderId="18" xfId="0" applyFont="1" applyBorder="1" applyAlignment="1">
      <alignment/>
    </xf>
    <xf numFmtId="2" fontId="10" fillId="0" borderId="18" xfId="0" applyNumberFormat="1" applyFont="1" applyBorder="1" applyAlignment="1">
      <alignment horizontal="center"/>
    </xf>
    <xf numFmtId="10" fontId="11" fillId="0" borderId="0" xfId="0" applyNumberFormat="1" applyFont="1" applyAlignment="1">
      <alignment/>
    </xf>
    <xf numFmtId="0" fontId="20" fillId="0" borderId="38" xfId="0" applyFont="1" applyFill="1" applyBorder="1" applyAlignment="1">
      <alignment/>
    </xf>
    <xf numFmtId="2" fontId="10" fillId="0" borderId="36" xfId="0" applyNumberFormat="1" applyFont="1" applyFill="1" applyBorder="1" applyAlignment="1">
      <alignment horizontal="center"/>
    </xf>
    <xf numFmtId="0" fontId="10" fillId="0" borderId="39" xfId="0" applyFont="1" applyFill="1" applyBorder="1" applyAlignment="1">
      <alignment/>
    </xf>
    <xf numFmtId="2" fontId="10" fillId="0" borderId="22" xfId="0" applyNumberFormat="1" applyFont="1" applyFill="1" applyBorder="1" applyAlignment="1">
      <alignment horizontal="center"/>
    </xf>
    <xf numFmtId="9" fontId="11" fillId="0" borderId="0" xfId="0" applyNumberFormat="1" applyFont="1" applyAlignment="1">
      <alignment/>
    </xf>
    <xf numFmtId="0" fontId="10" fillId="0" borderId="40" xfId="0" applyFont="1" applyFill="1" applyBorder="1" applyAlignment="1">
      <alignment/>
    </xf>
    <xf numFmtId="2" fontId="10" fillId="0" borderId="29" xfId="0" applyNumberFormat="1" applyFont="1" applyFill="1" applyBorder="1" applyAlignment="1">
      <alignment horizontal="center"/>
    </xf>
    <xf numFmtId="0" fontId="10" fillId="35" borderId="18" xfId="0" applyFont="1" applyFill="1" applyBorder="1" applyAlignment="1">
      <alignment/>
    </xf>
    <xf numFmtId="0" fontId="9" fillId="35" borderId="18" xfId="0" applyFont="1" applyFill="1" applyBorder="1" applyAlignment="1">
      <alignment/>
    </xf>
    <xf numFmtId="2" fontId="9" fillId="35" borderId="18" xfId="0" applyNumberFormat="1" applyFont="1" applyFill="1" applyBorder="1" applyAlignment="1">
      <alignment horizontal="center"/>
    </xf>
    <xf numFmtId="0" fontId="16" fillId="0" borderId="11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Alignment="1">
      <alignment wrapText="1"/>
    </xf>
    <xf numFmtId="0" fontId="10" fillId="0" borderId="15" xfId="0" applyFont="1" applyFill="1" applyBorder="1" applyAlignment="1">
      <alignment horizontal="center" vertical="center"/>
    </xf>
    <xf numFmtId="2" fontId="10" fillId="0" borderId="25" xfId="0" applyNumberFormat="1" applyFont="1" applyFill="1" applyBorder="1" applyAlignment="1">
      <alignment horizontal="center"/>
    </xf>
    <xf numFmtId="0" fontId="10" fillId="0" borderId="4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2" fontId="10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33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/>
    </xf>
    <xf numFmtId="2" fontId="10" fillId="0" borderId="33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0" fontId="16" fillId="36" borderId="0" xfId="0" applyFont="1" applyFill="1" applyBorder="1" applyAlignment="1">
      <alignment/>
    </xf>
    <xf numFmtId="2" fontId="4" fillId="0" borderId="26" xfId="0" applyNumberFormat="1" applyFont="1" applyFill="1" applyBorder="1" applyAlignment="1">
      <alignment vertical="center" wrapText="1"/>
    </xf>
    <xf numFmtId="2" fontId="4" fillId="0" borderId="26" xfId="0" applyNumberFormat="1" applyFont="1" applyBorder="1" applyAlignment="1">
      <alignment vertical="center" wrapText="1"/>
    </xf>
    <xf numFmtId="2" fontId="4" fillId="0" borderId="28" xfId="0" applyNumberFormat="1" applyFont="1" applyBorder="1" applyAlignment="1">
      <alignment vertical="center" wrapText="1"/>
    </xf>
    <xf numFmtId="2" fontId="4" fillId="34" borderId="28" xfId="0" applyNumberFormat="1" applyFont="1" applyFill="1" applyBorder="1" applyAlignment="1">
      <alignment vertical="center" wrapText="1"/>
    </xf>
    <xf numFmtId="0" fontId="4" fillId="36" borderId="0" xfId="0" applyFont="1" applyFill="1" applyBorder="1" applyAlignment="1">
      <alignment/>
    </xf>
    <xf numFmtId="2" fontId="4" fillId="36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 horizontal="left"/>
    </xf>
    <xf numFmtId="2" fontId="4" fillId="0" borderId="0" xfId="0" applyNumberFormat="1" applyFont="1" applyBorder="1" applyAlignment="1">
      <alignment vertical="center" wrapText="1"/>
    </xf>
    <xf numFmtId="2" fontId="4" fillId="34" borderId="39" xfId="0" applyNumberFormat="1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2" fontId="4" fillId="0" borderId="42" xfId="0" applyNumberFormat="1" applyFont="1" applyFill="1" applyBorder="1" applyAlignment="1">
      <alignment vertical="center" wrapText="1"/>
    </xf>
    <xf numFmtId="2" fontId="4" fillId="0" borderId="42" xfId="0" applyNumberFormat="1" applyFont="1" applyBorder="1" applyAlignment="1">
      <alignment vertical="center" wrapText="1"/>
    </xf>
    <xf numFmtId="2" fontId="4" fillId="34" borderId="42" xfId="0" applyNumberFormat="1" applyFont="1" applyFill="1" applyBorder="1" applyAlignment="1">
      <alignment vertical="center" wrapText="1"/>
    </xf>
    <xf numFmtId="0" fontId="4" fillId="37" borderId="26" xfId="0" applyFont="1" applyFill="1" applyBorder="1" applyAlignment="1">
      <alignment vertical="center" wrapText="1"/>
    </xf>
    <xf numFmtId="0" fontId="3" fillId="37" borderId="27" xfId="0" applyFont="1" applyFill="1" applyBorder="1" applyAlignment="1">
      <alignment vertical="center" wrapText="1"/>
    </xf>
    <xf numFmtId="0" fontId="4" fillId="37" borderId="23" xfId="0" applyFont="1" applyFill="1" applyBorder="1" applyAlignment="1">
      <alignment/>
    </xf>
    <xf numFmtId="0" fontId="10" fillId="37" borderId="26" xfId="0" applyFont="1" applyFill="1" applyBorder="1" applyAlignment="1">
      <alignment/>
    </xf>
    <xf numFmtId="0" fontId="4" fillId="37" borderId="42" xfId="0" applyFont="1" applyFill="1" applyBorder="1" applyAlignment="1">
      <alignment vertical="center" wrapText="1"/>
    </xf>
    <xf numFmtId="0" fontId="9" fillId="37" borderId="42" xfId="0" applyFont="1" applyFill="1" applyBorder="1" applyAlignment="1">
      <alignment/>
    </xf>
    <xf numFmtId="0" fontId="4" fillId="0" borderId="18" xfId="0" applyFont="1" applyBorder="1" applyAlignment="1">
      <alignment wrapText="1"/>
    </xf>
    <xf numFmtId="0" fontId="23" fillId="0" borderId="0" xfId="0" applyFont="1" applyBorder="1" applyAlignment="1">
      <alignment/>
    </xf>
    <xf numFmtId="0" fontId="16" fillId="36" borderId="33" xfId="0" applyFont="1" applyFill="1" applyBorder="1" applyAlignment="1">
      <alignment/>
    </xf>
    <xf numFmtId="0" fontId="16" fillId="36" borderId="36" xfId="0" applyFont="1" applyFill="1" applyBorder="1" applyAlignment="1">
      <alignment/>
    </xf>
    <xf numFmtId="0" fontId="16" fillId="36" borderId="22" xfId="0" applyFont="1" applyFill="1" applyBorder="1" applyAlignment="1">
      <alignment/>
    </xf>
    <xf numFmtId="0" fontId="16" fillId="36" borderId="26" xfId="0" applyFont="1" applyFill="1" applyBorder="1" applyAlignment="1">
      <alignment/>
    </xf>
    <xf numFmtId="0" fontId="16" fillId="36" borderId="29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0" fontId="16" fillId="36" borderId="0" xfId="0" applyFont="1" applyFill="1" applyBorder="1" applyAlignment="1">
      <alignment horizontal="left"/>
    </xf>
    <xf numFmtId="0" fontId="3" fillId="0" borderId="27" xfId="0" applyFont="1" applyBorder="1" applyAlignment="1">
      <alignment/>
    </xf>
    <xf numFmtId="0" fontId="23" fillId="0" borderId="0" xfId="0" applyFont="1" applyAlignment="1">
      <alignment/>
    </xf>
    <xf numFmtId="0" fontId="4" fillId="0" borderId="15" xfId="0" applyFont="1" applyBorder="1" applyAlignment="1">
      <alignment wrapText="1"/>
    </xf>
    <xf numFmtId="0" fontId="4" fillId="0" borderId="15" xfId="0" applyFont="1" applyBorder="1" applyAlignment="1">
      <alignment horizontal="center" vertical="top" wrapText="1"/>
    </xf>
    <xf numFmtId="166" fontId="4" fillId="0" borderId="15" xfId="0" applyNumberFormat="1" applyFont="1" applyBorder="1" applyAlignment="1">
      <alignment/>
    </xf>
    <xf numFmtId="176" fontId="4" fillId="0" borderId="15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top" wrapText="1"/>
    </xf>
    <xf numFmtId="2" fontId="14" fillId="0" borderId="15" xfId="0" applyNumberFormat="1" applyFont="1" applyBorder="1" applyAlignment="1">
      <alignment/>
    </xf>
    <xf numFmtId="2" fontId="14" fillId="0" borderId="16" xfId="0" applyNumberFormat="1" applyFont="1" applyBorder="1" applyAlignment="1">
      <alignment/>
    </xf>
    <xf numFmtId="0" fontId="12" fillId="0" borderId="15" xfId="0" applyFont="1" applyBorder="1" applyAlignment="1">
      <alignment horizontal="right"/>
    </xf>
    <xf numFmtId="0" fontId="25" fillId="0" borderId="15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3" fontId="14" fillId="0" borderId="16" xfId="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0" fontId="12" fillId="0" borderId="25" xfId="0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3" fontId="14" fillId="0" borderId="11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3" fontId="14" fillId="0" borderId="25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11" xfId="0" applyFont="1" applyFill="1" applyBorder="1" applyAlignment="1">
      <alignment horizontal="center" vertical="center" textRotation="90" wrapText="1"/>
    </xf>
    <xf numFmtId="0" fontId="16" fillId="0" borderId="15" xfId="0" applyFont="1" applyFill="1" applyBorder="1" applyAlignment="1">
      <alignment vertical="center" textRotation="90" wrapText="1"/>
    </xf>
    <xf numFmtId="0" fontId="16" fillId="0" borderId="18" xfId="0" applyFont="1" applyFill="1" applyBorder="1" applyAlignment="1">
      <alignment vertical="center" textRotation="90" wrapText="1"/>
    </xf>
    <xf numFmtId="0" fontId="16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4" fillId="0" borderId="28" xfId="0" applyFont="1" applyBorder="1" applyAlignment="1">
      <alignment textRotation="90" wrapText="1"/>
    </xf>
    <xf numFmtId="0" fontId="0" fillId="0" borderId="43" xfId="0" applyBorder="1" applyAlignment="1">
      <alignment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16" fillId="36" borderId="11" xfId="0" applyFont="1" applyFill="1" applyBorder="1" applyAlignment="1">
      <alignment horizontal="center" vertical="center" textRotation="90" wrapText="1"/>
    </xf>
    <xf numFmtId="0" fontId="16" fillId="36" borderId="15" xfId="0" applyFont="1" applyFill="1" applyBorder="1" applyAlignment="1">
      <alignment vertical="center" textRotation="90" wrapText="1"/>
    </xf>
    <xf numFmtId="0" fontId="16" fillId="36" borderId="18" xfId="0" applyFont="1" applyFill="1" applyBorder="1" applyAlignment="1">
      <alignment vertical="center" textRotation="90" wrapText="1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15" xfId="0" applyFont="1" applyBorder="1" applyAlignment="1">
      <alignment vertical="center" textRotation="90" wrapText="1"/>
    </xf>
    <xf numFmtId="0" fontId="16" fillId="0" borderId="18" xfId="0" applyFont="1" applyBorder="1" applyAlignment="1">
      <alignment vertical="center" textRotation="90" wrapText="1"/>
    </xf>
    <xf numFmtId="0" fontId="4" fillId="0" borderId="0" xfId="0" applyFont="1" applyBorder="1" applyAlignment="1">
      <alignment horizontal="right"/>
    </xf>
    <xf numFmtId="2" fontId="4" fillId="0" borderId="26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" fontId="10" fillId="0" borderId="11" xfId="0" applyNumberFormat="1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7"/>
  <sheetViews>
    <sheetView tabSelected="1" zoomScalePageLayoutView="0" workbookViewId="0" topLeftCell="A1">
      <selection activeCell="A70" sqref="A70:IV127"/>
    </sheetView>
  </sheetViews>
  <sheetFormatPr defaultColWidth="9.00390625" defaultRowHeight="12.75"/>
  <cols>
    <col min="1" max="1" width="4.375" style="125" customWidth="1"/>
    <col min="2" max="2" width="69.625" style="125" customWidth="1"/>
    <col min="3" max="3" width="16.875" style="125" customWidth="1"/>
    <col min="4" max="16384" width="9.125" style="125" customWidth="1"/>
  </cols>
  <sheetData>
    <row r="1" spans="2:3" ht="18.75">
      <c r="B1" s="125" t="s">
        <v>259</v>
      </c>
      <c r="C1" s="115"/>
    </row>
    <row r="2" spans="1:3" ht="18.75">
      <c r="A2" s="394" t="s">
        <v>488</v>
      </c>
      <c r="B2" s="394"/>
      <c r="C2" s="394"/>
    </row>
    <row r="3" ht="18.75">
      <c r="C3" s="115"/>
    </row>
    <row r="4" spans="2:3" ht="18.75">
      <c r="B4" s="125" t="s">
        <v>260</v>
      </c>
      <c r="C4" s="115"/>
    </row>
    <row r="5" spans="2:3" ht="18.75" customHeight="1">
      <c r="B5" s="115"/>
      <c r="C5" s="115"/>
    </row>
    <row r="6" ht="18.75"/>
    <row r="7" spans="1:3" ht="18.75">
      <c r="A7" s="395" t="s">
        <v>443</v>
      </c>
      <c r="B7" s="395"/>
      <c r="C7" s="395"/>
    </row>
    <row r="8" spans="1:3" ht="18.75">
      <c r="A8" s="396" t="s">
        <v>444</v>
      </c>
      <c r="B8" s="396"/>
      <c r="C8" s="396"/>
    </row>
    <row r="9" spans="1:3" ht="18.75">
      <c r="A9" s="396" t="s">
        <v>481</v>
      </c>
      <c r="B9" s="396"/>
      <c r="C9" s="396"/>
    </row>
    <row r="10" ht="19.5" thickBot="1"/>
    <row r="11" spans="1:3" ht="18.75">
      <c r="A11" s="387" t="s">
        <v>71</v>
      </c>
      <c r="B11" s="387" t="s">
        <v>201</v>
      </c>
      <c r="C11" s="126" t="s">
        <v>3</v>
      </c>
    </row>
    <row r="12" spans="1:3" ht="19.5" thickBot="1">
      <c r="A12" s="388"/>
      <c r="B12" s="389"/>
      <c r="C12" s="127" t="s">
        <v>228</v>
      </c>
    </row>
    <row r="13" spans="1:3" ht="18.75">
      <c r="A13" s="128">
        <v>2</v>
      </c>
      <c r="B13" s="129" t="s">
        <v>452</v>
      </c>
      <c r="C13" s="130"/>
    </row>
    <row r="14" spans="1:3" ht="18.75">
      <c r="A14" s="132"/>
      <c r="B14" s="129" t="s">
        <v>453</v>
      </c>
      <c r="C14" s="377">
        <f>+(3780*1.699*1.4*1.15)/165.6*0.3</f>
        <v>18.731475</v>
      </c>
    </row>
    <row r="15" spans="1:3" ht="18.75">
      <c r="A15" s="128"/>
      <c r="B15" s="129" t="s">
        <v>454</v>
      </c>
      <c r="C15" s="130"/>
    </row>
    <row r="16" spans="1:3" ht="18.75">
      <c r="A16" s="133">
        <v>4</v>
      </c>
      <c r="B16" s="129" t="s">
        <v>455</v>
      </c>
      <c r="C16" s="377">
        <f>+(3780*2.423*1.4*1.15)/165.6*0.08</f>
        <v>7.12362</v>
      </c>
    </row>
    <row r="17" spans="1:3" ht="18.75">
      <c r="A17" s="133"/>
      <c r="B17" s="129" t="s">
        <v>456</v>
      </c>
      <c r="C17" s="378"/>
    </row>
    <row r="18" spans="1:3" ht="18.75">
      <c r="A18" s="133"/>
      <c r="B18" s="129" t="s">
        <v>462</v>
      </c>
      <c r="C18" s="377">
        <f>+(3780*1.699*0.4)/165.6*0.3</f>
        <v>4.653782608695653</v>
      </c>
    </row>
    <row r="19" spans="1:3" ht="18.75">
      <c r="A19" s="133"/>
      <c r="B19" s="129" t="s">
        <v>457</v>
      </c>
      <c r="C19" s="377">
        <f>+(3780*2.423*0.4)/165.6*0.08</f>
        <v>1.7698434782608699</v>
      </c>
    </row>
    <row r="20" spans="1:3" ht="18.75">
      <c r="A20" s="133"/>
      <c r="B20" s="129" t="s">
        <v>458</v>
      </c>
      <c r="C20" s="378">
        <f>SUM(C14:C19)*34.2%</f>
        <v>11.039322611739133</v>
      </c>
    </row>
    <row r="21" spans="1:3" ht="18.75">
      <c r="A21" s="134"/>
      <c r="B21" s="135" t="s">
        <v>459</v>
      </c>
      <c r="C21" s="136">
        <f>SUM(C13:C20)</f>
        <v>43.318043698695654</v>
      </c>
    </row>
    <row r="22" spans="1:3" ht="18.75">
      <c r="A22" s="134"/>
      <c r="B22" s="129" t="s">
        <v>460</v>
      </c>
      <c r="C22" s="136">
        <f>4.75*1.25</f>
        <v>5.9375</v>
      </c>
    </row>
    <row r="23" spans="1:3" ht="18.75">
      <c r="A23" s="134"/>
      <c r="B23" s="379" t="s">
        <v>461</v>
      </c>
      <c r="C23" s="136">
        <f>SUM(C21:C22)</f>
        <v>49.255543698695654</v>
      </c>
    </row>
    <row r="24" spans="1:3" ht="18.75">
      <c r="A24" s="132">
        <v>7</v>
      </c>
      <c r="B24" s="129" t="s">
        <v>445</v>
      </c>
      <c r="C24" s="131">
        <f>+C21*78%</f>
        <v>33.78807408498261</v>
      </c>
    </row>
    <row r="25" spans="1:3" ht="18.75">
      <c r="A25" s="132"/>
      <c r="B25" s="129"/>
      <c r="C25" s="131">
        <f>SUM(C23:C24)</f>
        <v>83.04361778367826</v>
      </c>
    </row>
    <row r="26" spans="1:3" ht="18.75">
      <c r="A26" s="132">
        <v>8</v>
      </c>
      <c r="B26" s="129" t="s">
        <v>262</v>
      </c>
      <c r="C26" s="131">
        <f>+C25*25%</f>
        <v>20.760904445919564</v>
      </c>
    </row>
    <row r="27" spans="1:3" ht="18.75">
      <c r="A27" s="132"/>
      <c r="B27" s="135" t="s">
        <v>258</v>
      </c>
      <c r="C27" s="136">
        <f>+C25+C26</f>
        <v>103.80452222959782</v>
      </c>
    </row>
    <row r="28" spans="1:3" ht="18.75">
      <c r="A28" s="132"/>
      <c r="B28" s="129" t="s">
        <v>1</v>
      </c>
      <c r="C28" s="131">
        <f>C27*18%</f>
        <v>18.684814001327606</v>
      </c>
    </row>
    <row r="29" spans="1:3" ht="19.5" thickBot="1">
      <c r="A29" s="137"/>
      <c r="B29" s="138" t="s">
        <v>2</v>
      </c>
      <c r="C29" s="139">
        <f>C27+C28</f>
        <v>122.48933623092543</v>
      </c>
    </row>
    <row r="30" ht="18.75"/>
    <row r="31" ht="18.75"/>
    <row r="32" ht="30" customHeight="1">
      <c r="A32" s="125" t="s">
        <v>261</v>
      </c>
    </row>
    <row r="33" ht="18.75"/>
    <row r="34" ht="18.75">
      <c r="A34" s="125" t="s">
        <v>231</v>
      </c>
    </row>
    <row r="35" ht="18.75">
      <c r="A35" s="125" t="s">
        <v>463</v>
      </c>
    </row>
    <row r="36" spans="2:3" ht="18.75">
      <c r="B36" s="125" t="s">
        <v>259</v>
      </c>
      <c r="C36" s="115"/>
    </row>
    <row r="37" spans="1:3" ht="18.75">
      <c r="A37" s="394" t="s">
        <v>488</v>
      </c>
      <c r="B37" s="394"/>
      <c r="C37" s="394"/>
    </row>
    <row r="38" ht="18.75">
      <c r="C38" s="115"/>
    </row>
    <row r="39" spans="2:3" ht="18.75">
      <c r="B39" s="125" t="s">
        <v>260</v>
      </c>
      <c r="C39" s="115"/>
    </row>
    <row r="40" spans="2:3" ht="18.75">
      <c r="B40" s="115"/>
      <c r="C40" s="115"/>
    </row>
    <row r="41" ht="18.75"/>
    <row r="42" spans="1:3" ht="18.75">
      <c r="A42" s="395" t="s">
        <v>443</v>
      </c>
      <c r="B42" s="395"/>
      <c r="C42" s="395"/>
    </row>
    <row r="43" spans="1:3" ht="18.75">
      <c r="A43" s="396" t="s">
        <v>464</v>
      </c>
      <c r="B43" s="396"/>
      <c r="C43" s="396"/>
    </row>
    <row r="44" spans="1:3" ht="18.75">
      <c r="A44" s="396" t="s">
        <v>481</v>
      </c>
      <c r="B44" s="396"/>
      <c r="C44" s="396"/>
    </row>
    <row r="45" ht="19.5" thickBot="1"/>
    <row r="46" spans="1:3" ht="18.75">
      <c r="A46" s="387" t="s">
        <v>71</v>
      </c>
      <c r="B46" s="387" t="s">
        <v>201</v>
      </c>
      <c r="C46" s="126" t="s">
        <v>3</v>
      </c>
    </row>
    <row r="47" spans="1:3" ht="19.5" thickBot="1">
      <c r="A47" s="388"/>
      <c r="B47" s="389"/>
      <c r="C47" s="127" t="s">
        <v>228</v>
      </c>
    </row>
    <row r="48" spans="1:3" ht="18.75">
      <c r="A48" s="128">
        <v>2</v>
      </c>
      <c r="B48" s="129" t="s">
        <v>465</v>
      </c>
      <c r="C48" s="130"/>
    </row>
    <row r="49" spans="1:3" ht="18.75">
      <c r="A49" s="132"/>
      <c r="B49" s="380" t="s">
        <v>453</v>
      </c>
      <c r="C49" s="377">
        <f>+(3780*2.047*1.5*1.15)/165.6*1.5</f>
        <v>120.90093750000001</v>
      </c>
    </row>
    <row r="50" spans="1:3" ht="18.75">
      <c r="A50" s="133"/>
      <c r="B50" s="129" t="s">
        <v>456</v>
      </c>
      <c r="C50" s="378"/>
    </row>
    <row r="51" spans="1:3" ht="18.75">
      <c r="A51" s="133"/>
      <c r="B51" s="380" t="s">
        <v>462</v>
      </c>
      <c r="C51" s="377">
        <f>+(3780*2.047*0.3)/165.6*1.5</f>
        <v>21.026250000000005</v>
      </c>
    </row>
    <row r="52" spans="1:3" ht="18.75">
      <c r="A52" s="133"/>
      <c r="B52" s="380" t="s">
        <v>457</v>
      </c>
      <c r="C52" s="377">
        <f>+(3780*2.423*0.4)/165.6*0.08</f>
        <v>1.7698434782608699</v>
      </c>
    </row>
    <row r="53" spans="1:3" ht="18.75">
      <c r="A53" s="133"/>
      <c r="B53" s="129" t="s">
        <v>458</v>
      </c>
      <c r="C53" s="378">
        <f>SUM(C49:C52)*34.2%</f>
        <v>49.144384594565224</v>
      </c>
    </row>
    <row r="54" spans="1:3" ht="18.75">
      <c r="A54" s="134"/>
      <c r="B54" s="135" t="s">
        <v>459</v>
      </c>
      <c r="C54" s="136">
        <f>SUM(C48:C53)</f>
        <v>192.8414155728261</v>
      </c>
    </row>
    <row r="55" spans="1:3" ht="18.75">
      <c r="A55" s="134"/>
      <c r="B55" s="129" t="s">
        <v>466</v>
      </c>
      <c r="C55" s="136">
        <f>5.75*2</f>
        <v>11.5</v>
      </c>
    </row>
    <row r="56" spans="1:3" ht="18.75">
      <c r="A56" s="134"/>
      <c r="B56" s="379" t="s">
        <v>461</v>
      </c>
      <c r="C56" s="136">
        <f>SUM(C54:C55)</f>
        <v>204.3414155728261</v>
      </c>
    </row>
    <row r="57" spans="1:3" ht="18.75">
      <c r="A57" s="132">
        <v>7</v>
      </c>
      <c r="B57" s="129" t="s">
        <v>445</v>
      </c>
      <c r="C57" s="131">
        <f>+C54*78%</f>
        <v>150.41630414680435</v>
      </c>
    </row>
    <row r="58" spans="1:3" ht="18.75">
      <c r="A58" s="132"/>
      <c r="B58" s="129"/>
      <c r="C58" s="131">
        <f>SUM(C56:C57)</f>
        <v>354.7577197196305</v>
      </c>
    </row>
    <row r="59" spans="1:3" ht="18.75">
      <c r="A59" s="132">
        <v>8</v>
      </c>
      <c r="B59" s="129" t="s">
        <v>262</v>
      </c>
      <c r="C59" s="131">
        <f>+C58*25%</f>
        <v>88.68942992990762</v>
      </c>
    </row>
    <row r="60" spans="1:3" ht="18.75">
      <c r="A60" s="132"/>
      <c r="B60" s="135" t="s">
        <v>258</v>
      </c>
      <c r="C60" s="136">
        <f>+C58+C59</f>
        <v>443.4471496495381</v>
      </c>
    </row>
    <row r="61" spans="1:3" ht="18.75">
      <c r="A61" s="132"/>
      <c r="B61" s="129" t="s">
        <v>1</v>
      </c>
      <c r="C61" s="131">
        <f>C60*18%</f>
        <v>79.82048693691686</v>
      </c>
    </row>
    <row r="62" spans="1:3" ht="19.5" thickBot="1">
      <c r="A62" s="137"/>
      <c r="B62" s="138" t="s">
        <v>2</v>
      </c>
      <c r="C62" s="139">
        <f>C60+C61</f>
        <v>523.267636586455</v>
      </c>
    </row>
    <row r="63" ht="18.75"/>
    <row r="64" ht="18.75"/>
    <row r="65" ht="18.75">
      <c r="A65" s="125" t="s">
        <v>261</v>
      </c>
    </row>
    <row r="66" ht="18.75"/>
    <row r="67" ht="18.75">
      <c r="A67" s="125" t="s">
        <v>231</v>
      </c>
    </row>
    <row r="68" ht="18.75">
      <c r="A68" s="125" t="s">
        <v>463</v>
      </c>
    </row>
    <row r="69" ht="18.75"/>
    <row r="70" spans="1:3" ht="18.75" hidden="1">
      <c r="A70" s="393" t="s">
        <v>477</v>
      </c>
      <c r="B70" s="393"/>
      <c r="C70" s="393"/>
    </row>
    <row r="71" ht="18.75" hidden="1">
      <c r="C71" s="115"/>
    </row>
    <row r="72" spans="1:3" ht="18.75" hidden="1">
      <c r="A72" s="394"/>
      <c r="B72" s="394"/>
      <c r="C72" s="394"/>
    </row>
    <row r="73" ht="18.75" hidden="1">
      <c r="C73" s="115"/>
    </row>
    <row r="74" ht="18.75" hidden="1">
      <c r="C74" s="115"/>
    </row>
    <row r="75" spans="2:3" ht="18.75" hidden="1">
      <c r="B75" s="115"/>
      <c r="C75" s="115"/>
    </row>
    <row r="76" ht="18.75" hidden="1"/>
    <row r="77" spans="1:3" ht="18.75" hidden="1">
      <c r="A77" s="395" t="s">
        <v>482</v>
      </c>
      <c r="B77" s="395"/>
      <c r="C77" s="395"/>
    </row>
    <row r="78" spans="1:3" ht="18.75" hidden="1">
      <c r="A78" s="396" t="s">
        <v>480</v>
      </c>
      <c r="B78" s="396"/>
      <c r="C78" s="396"/>
    </row>
    <row r="79" spans="1:3" ht="18.75" hidden="1">
      <c r="A79" s="396" t="s">
        <v>481</v>
      </c>
      <c r="B79" s="396"/>
      <c r="C79" s="396"/>
    </row>
    <row r="80" ht="19.5" hidden="1" thickBot="1"/>
    <row r="81" spans="1:3" ht="18.75" hidden="1">
      <c r="A81" s="387" t="s">
        <v>71</v>
      </c>
      <c r="B81" s="387" t="s">
        <v>478</v>
      </c>
      <c r="C81" s="126" t="s">
        <v>3</v>
      </c>
    </row>
    <row r="82" spans="1:3" ht="19.5" hidden="1" thickBot="1">
      <c r="A82" s="388"/>
      <c r="B82" s="389"/>
      <c r="C82" s="127" t="s">
        <v>228</v>
      </c>
    </row>
    <row r="83" spans="1:3" ht="25.5" hidden="1">
      <c r="A83" s="381">
        <v>1</v>
      </c>
      <c r="B83" s="385" t="s">
        <v>479</v>
      </c>
      <c r="C83" s="390">
        <v>11878.81</v>
      </c>
    </row>
    <row r="84" spans="1:3" ht="25.5" hidden="1">
      <c r="A84" s="381">
        <v>2</v>
      </c>
      <c r="B84" s="382" t="s">
        <v>468</v>
      </c>
      <c r="C84" s="391"/>
    </row>
    <row r="85" spans="1:3" ht="18.75" hidden="1">
      <c r="A85" s="381">
        <v>3</v>
      </c>
      <c r="B85" s="382" t="s">
        <v>469</v>
      </c>
      <c r="C85" s="391"/>
    </row>
    <row r="86" spans="1:3" ht="25.5" hidden="1">
      <c r="A86" s="381">
        <v>4</v>
      </c>
      <c r="B86" s="382" t="s">
        <v>470</v>
      </c>
      <c r="C86" s="391"/>
    </row>
    <row r="87" spans="1:3" ht="22.5" customHeight="1" hidden="1">
      <c r="A87" s="381">
        <v>5</v>
      </c>
      <c r="B87" s="382" t="s">
        <v>471</v>
      </c>
      <c r="C87" s="391"/>
    </row>
    <row r="88" spans="1:3" ht="22.5" customHeight="1" hidden="1">
      <c r="A88" s="381">
        <v>6</v>
      </c>
      <c r="B88" s="382" t="s">
        <v>472</v>
      </c>
      <c r="C88" s="391"/>
    </row>
    <row r="89" spans="1:3" ht="25.5" hidden="1">
      <c r="A89" s="381">
        <v>7</v>
      </c>
      <c r="B89" s="382" t="s">
        <v>473</v>
      </c>
      <c r="C89" s="391"/>
    </row>
    <row r="90" spans="1:3" ht="25.5" hidden="1">
      <c r="A90" s="381">
        <v>8</v>
      </c>
      <c r="B90" s="382" t="s">
        <v>474</v>
      </c>
      <c r="C90" s="391"/>
    </row>
    <row r="91" spans="1:3" ht="18.75" hidden="1">
      <c r="A91" s="381">
        <v>9</v>
      </c>
      <c r="B91" s="382" t="s">
        <v>475</v>
      </c>
      <c r="C91" s="391"/>
    </row>
    <row r="92" spans="1:3" ht="25.5" hidden="1">
      <c r="A92" s="381">
        <v>10</v>
      </c>
      <c r="B92" s="382" t="s">
        <v>476</v>
      </c>
      <c r="C92" s="391"/>
    </row>
    <row r="93" spans="1:3" ht="18.75" customHeight="1" hidden="1">
      <c r="A93" s="381"/>
      <c r="B93" s="382"/>
      <c r="C93" s="391"/>
    </row>
    <row r="94" spans="1:3" ht="18.75" customHeight="1" hidden="1">
      <c r="A94" s="381"/>
      <c r="B94" s="382"/>
      <c r="C94" s="391"/>
    </row>
    <row r="95" spans="1:3" ht="18.75" customHeight="1" hidden="1">
      <c r="A95" s="381"/>
      <c r="B95" s="382"/>
      <c r="C95" s="391"/>
    </row>
    <row r="96" spans="1:3" ht="18.75" customHeight="1" hidden="1">
      <c r="A96" s="381"/>
      <c r="B96" s="382"/>
      <c r="C96" s="391"/>
    </row>
    <row r="97" spans="1:3" ht="18.75" customHeight="1" hidden="1">
      <c r="A97" s="381"/>
      <c r="B97" s="382"/>
      <c r="C97" s="391"/>
    </row>
    <row r="98" spans="1:3" ht="18.75" customHeight="1" hidden="1">
      <c r="A98" s="381"/>
      <c r="B98" s="382"/>
      <c r="C98" s="391"/>
    </row>
    <row r="99" spans="1:3" ht="18.75" customHeight="1" hidden="1">
      <c r="A99" s="381"/>
      <c r="B99" s="382"/>
      <c r="C99" s="391"/>
    </row>
    <row r="100" spans="1:3" ht="18.75" customHeight="1" hidden="1">
      <c r="A100" s="381"/>
      <c r="B100" s="382"/>
      <c r="C100" s="391"/>
    </row>
    <row r="101" spans="1:3" ht="18.75" customHeight="1" hidden="1">
      <c r="A101" s="381"/>
      <c r="B101" s="382"/>
      <c r="C101" s="391"/>
    </row>
    <row r="102" spans="1:3" ht="18.75" customHeight="1" hidden="1">
      <c r="A102" s="381"/>
      <c r="B102" s="382"/>
      <c r="C102" s="391"/>
    </row>
    <row r="103" spans="1:3" ht="18.75" customHeight="1" hidden="1">
      <c r="A103" s="381"/>
      <c r="B103" s="382"/>
      <c r="C103" s="391"/>
    </row>
    <row r="104" spans="1:3" ht="18.75" customHeight="1" hidden="1">
      <c r="A104" s="381"/>
      <c r="B104" s="382"/>
      <c r="C104" s="391"/>
    </row>
    <row r="105" spans="1:3" ht="18.75" customHeight="1" hidden="1">
      <c r="A105" s="381"/>
      <c r="B105" s="382"/>
      <c r="C105" s="391"/>
    </row>
    <row r="106" spans="1:3" ht="18.75" customHeight="1" hidden="1">
      <c r="A106" s="381"/>
      <c r="B106" s="382"/>
      <c r="C106" s="391"/>
    </row>
    <row r="107" spans="1:3" ht="18.75" customHeight="1" hidden="1">
      <c r="A107" s="128">
        <v>2</v>
      </c>
      <c r="B107" s="129" t="s">
        <v>467</v>
      </c>
      <c r="C107" s="391"/>
    </row>
    <row r="108" spans="1:3" ht="18.75" customHeight="1" hidden="1">
      <c r="A108" s="132"/>
      <c r="B108" s="380" t="s">
        <v>453</v>
      </c>
      <c r="C108" s="391"/>
    </row>
    <row r="109" spans="1:3" ht="18.75" customHeight="1" hidden="1">
      <c r="A109" s="133"/>
      <c r="B109" s="129" t="s">
        <v>456</v>
      </c>
      <c r="C109" s="391"/>
    </row>
    <row r="110" spans="1:3" ht="18.75" customHeight="1" hidden="1">
      <c r="A110" s="133"/>
      <c r="B110" s="380" t="s">
        <v>462</v>
      </c>
      <c r="C110" s="391"/>
    </row>
    <row r="111" spans="1:3" ht="18.75" customHeight="1" hidden="1">
      <c r="A111" s="133"/>
      <c r="B111" s="380" t="s">
        <v>457</v>
      </c>
      <c r="C111" s="391"/>
    </row>
    <row r="112" spans="1:3" ht="18.75" customHeight="1" hidden="1">
      <c r="A112" s="133"/>
      <c r="B112" s="129" t="s">
        <v>458</v>
      </c>
      <c r="C112" s="391"/>
    </row>
    <row r="113" spans="1:3" ht="18.75" customHeight="1" hidden="1">
      <c r="A113" s="134"/>
      <c r="B113" s="135" t="s">
        <v>459</v>
      </c>
      <c r="C113" s="391"/>
    </row>
    <row r="114" spans="1:3" ht="18.75" customHeight="1" hidden="1">
      <c r="A114" s="134"/>
      <c r="B114" s="129" t="s">
        <v>466</v>
      </c>
      <c r="C114" s="391"/>
    </row>
    <row r="115" spans="1:3" ht="18.75" customHeight="1" hidden="1">
      <c r="A115" s="134"/>
      <c r="B115" s="379" t="s">
        <v>461</v>
      </c>
      <c r="C115" s="391"/>
    </row>
    <row r="116" spans="1:3" ht="18.75" customHeight="1" hidden="1">
      <c r="A116" s="132">
        <v>7</v>
      </c>
      <c r="B116" s="129" t="s">
        <v>445</v>
      </c>
      <c r="C116" s="391"/>
    </row>
    <row r="117" spans="1:3" ht="18.75" customHeight="1" hidden="1">
      <c r="A117" s="132"/>
      <c r="B117" s="129"/>
      <c r="C117" s="391"/>
    </row>
    <row r="118" spans="1:3" ht="18.75" customHeight="1" hidden="1">
      <c r="A118" s="132">
        <v>8</v>
      </c>
      <c r="B118" s="129" t="s">
        <v>262</v>
      </c>
      <c r="C118" s="391"/>
    </row>
    <row r="119" spans="1:3" ht="18.75" hidden="1">
      <c r="A119" s="132"/>
      <c r="B119" s="386"/>
      <c r="C119" s="392"/>
    </row>
    <row r="120" spans="1:3" ht="18.75" hidden="1">
      <c r="A120" s="132"/>
      <c r="B120" s="129" t="s">
        <v>1</v>
      </c>
      <c r="C120" s="383">
        <f>C83*18%</f>
        <v>2138.1857999999997</v>
      </c>
    </row>
    <row r="121" spans="1:3" ht="19.5" hidden="1" thickBot="1">
      <c r="A121" s="137"/>
      <c r="B121" s="138" t="s">
        <v>2</v>
      </c>
      <c r="C121" s="384">
        <f>+C83+C120</f>
        <v>14016.995799999999</v>
      </c>
    </row>
    <row r="122" ht="18.75" hidden="1"/>
    <row r="123" ht="18.75" hidden="1"/>
    <row r="124" ht="18.75" hidden="1"/>
    <row r="125" ht="18.75" hidden="1"/>
    <row r="126" ht="18.75" hidden="1">
      <c r="A126" s="125" t="s">
        <v>231</v>
      </c>
    </row>
    <row r="127" ht="18.75" hidden="1">
      <c r="A127" s="125" t="s">
        <v>463</v>
      </c>
    </row>
    <row r="156" ht="18.75"/>
    <row r="157" ht="18.75"/>
  </sheetData>
  <sheetProtection/>
  <mergeCells count="20">
    <mergeCell ref="A44:C44"/>
    <mergeCell ref="A46:A47"/>
    <mergeCell ref="B46:B47"/>
    <mergeCell ref="A2:C2"/>
    <mergeCell ref="A37:C37"/>
    <mergeCell ref="A42:C42"/>
    <mergeCell ref="A43:C43"/>
    <mergeCell ref="A7:C7"/>
    <mergeCell ref="A8:C8"/>
    <mergeCell ref="A9:C9"/>
    <mergeCell ref="A11:A12"/>
    <mergeCell ref="B11:B12"/>
    <mergeCell ref="C83:C119"/>
    <mergeCell ref="A81:A82"/>
    <mergeCell ref="B81:B82"/>
    <mergeCell ref="A70:C70"/>
    <mergeCell ref="A72:C72"/>
    <mergeCell ref="A77:C77"/>
    <mergeCell ref="A78:C78"/>
    <mergeCell ref="A79:C79"/>
  </mergeCells>
  <printOptions horizontalCentered="1"/>
  <pageMargins left="0.5905511811023623" right="0.5905511811023623" top="0.3937007874015748" bottom="0.5905511811023623" header="0.5118110236220472" footer="0.5118110236220472"/>
  <pageSetup horizontalDpi="120" verticalDpi="12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81"/>
  <sheetViews>
    <sheetView view="pageBreakPreview" zoomScale="75" zoomScaleNormal="75" zoomScaleSheetLayoutView="75"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B25" sqref="B25"/>
    </sheetView>
  </sheetViews>
  <sheetFormatPr defaultColWidth="9.25390625" defaultRowHeight="12.75"/>
  <cols>
    <col min="1" max="1" width="7.00390625" style="140" customWidth="1"/>
    <col min="2" max="2" width="55.625" style="140" customWidth="1"/>
    <col min="3" max="3" width="9.125" style="341" hidden="1" customWidth="1"/>
    <col min="4" max="4" width="9.25390625" style="140" hidden="1" customWidth="1"/>
    <col min="5" max="5" width="9.25390625" style="198" hidden="1" customWidth="1"/>
    <col min="6" max="6" width="8.375" style="200" hidden="1" customWidth="1"/>
    <col min="7" max="8" width="9.25390625" style="140" hidden="1" customWidth="1"/>
    <col min="9" max="9" width="10.125" style="140" hidden="1" customWidth="1"/>
    <col min="10" max="10" width="13.875" style="201" hidden="1" customWidth="1"/>
    <col min="11" max="11" width="10.00390625" style="201" hidden="1" customWidth="1"/>
    <col min="12" max="12" width="10.75390625" style="140" hidden="1" customWidth="1"/>
    <col min="13" max="13" width="14.75390625" style="140" customWidth="1"/>
    <col min="14" max="14" width="16.25390625" style="140" customWidth="1"/>
    <col min="15" max="15" width="18.625" style="140" customWidth="1"/>
    <col min="16" max="16384" width="9.25390625" style="140" customWidth="1"/>
  </cols>
  <sheetData>
    <row r="1" spans="2:14" ht="15" customHeight="1">
      <c r="B1" s="402" t="s">
        <v>414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14"/>
    </row>
    <row r="2" spans="2:16" ht="15" customHeight="1">
      <c r="B2" s="403" t="s">
        <v>487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329"/>
      <c r="P2" s="329"/>
    </row>
    <row r="3" spans="5:14" ht="15">
      <c r="E3" s="341"/>
      <c r="F3" s="341"/>
      <c r="M3" s="14"/>
      <c r="N3" s="14"/>
    </row>
    <row r="4" spans="2:15" ht="15" customHeight="1">
      <c r="B4" s="403" t="s">
        <v>415</v>
      </c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329"/>
    </row>
    <row r="5" spans="5:14" ht="15">
      <c r="E5" s="341"/>
      <c r="F5" s="341"/>
      <c r="M5" s="38"/>
      <c r="N5" s="14"/>
    </row>
    <row r="6" spans="1:21" ht="15.75">
      <c r="A6" s="396" t="s">
        <v>197</v>
      </c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U6" s="143"/>
    </row>
    <row r="7" spans="1:14" ht="15">
      <c r="A7" s="411" t="s">
        <v>8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</row>
    <row r="8" spans="1:16" ht="15.75">
      <c r="A8" s="412" t="s">
        <v>485</v>
      </c>
      <c r="B8" s="412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140">
        <v>3780</v>
      </c>
      <c r="P8" s="140" t="s">
        <v>376</v>
      </c>
    </row>
    <row r="9" spans="5:16" ht="15.75" thickBot="1">
      <c r="E9" s="201"/>
      <c r="F9" s="201"/>
      <c r="O9" s="140">
        <v>165.5</v>
      </c>
      <c r="P9" s="140" t="s">
        <v>377</v>
      </c>
    </row>
    <row r="10" spans="1:27" ht="15" customHeight="1">
      <c r="A10" s="400" t="s">
        <v>16</v>
      </c>
      <c r="B10" s="400" t="s">
        <v>178</v>
      </c>
      <c r="C10" s="422" t="s">
        <v>232</v>
      </c>
      <c r="D10" s="425" t="s">
        <v>263</v>
      </c>
      <c r="E10" s="397" t="s">
        <v>233</v>
      </c>
      <c r="F10" s="397" t="s">
        <v>234</v>
      </c>
      <c r="G10" s="400" t="s">
        <v>235</v>
      </c>
      <c r="H10" s="404" t="s">
        <v>236</v>
      </c>
      <c r="I10" s="286" t="s">
        <v>391</v>
      </c>
      <c r="J10" s="254" t="s">
        <v>224</v>
      </c>
      <c r="K10" s="407" t="s">
        <v>237</v>
      </c>
      <c r="L10" s="400" t="s">
        <v>390</v>
      </c>
      <c r="M10" s="144" t="s">
        <v>196</v>
      </c>
      <c r="N10" s="145" t="s">
        <v>196</v>
      </c>
      <c r="O10" s="140">
        <v>1.15</v>
      </c>
      <c r="P10" s="140" t="s">
        <v>378</v>
      </c>
      <c r="Z10" s="146"/>
      <c r="AA10" s="146"/>
    </row>
    <row r="11" spans="1:27" ht="15">
      <c r="A11" s="405"/>
      <c r="B11" s="405"/>
      <c r="C11" s="423"/>
      <c r="D11" s="426"/>
      <c r="E11" s="398"/>
      <c r="F11" s="398"/>
      <c r="G11" s="401"/>
      <c r="H11" s="405"/>
      <c r="I11" s="287" t="s">
        <v>281</v>
      </c>
      <c r="J11" s="255" t="s">
        <v>226</v>
      </c>
      <c r="K11" s="408"/>
      <c r="L11" s="401"/>
      <c r="M11" s="147" t="s">
        <v>24</v>
      </c>
      <c r="N11" s="149" t="s">
        <v>24</v>
      </c>
      <c r="O11" s="140">
        <v>1.5</v>
      </c>
      <c r="P11" s="140" t="s">
        <v>379</v>
      </c>
      <c r="Z11" s="146"/>
      <c r="AA11" s="141"/>
    </row>
    <row r="12" spans="1:27" ht="15">
      <c r="A12" s="405"/>
      <c r="B12" s="405"/>
      <c r="C12" s="423"/>
      <c r="D12" s="426"/>
      <c r="E12" s="398"/>
      <c r="F12" s="398"/>
      <c r="G12" s="401"/>
      <c r="H12" s="405"/>
      <c r="I12" s="289">
        <v>0.1</v>
      </c>
      <c r="J12" s="255" t="s">
        <v>227</v>
      </c>
      <c r="K12" s="408"/>
      <c r="L12" s="401"/>
      <c r="M12" s="147" t="s">
        <v>283</v>
      </c>
      <c r="N12" s="149" t="s">
        <v>25</v>
      </c>
      <c r="O12" s="140">
        <v>0.15</v>
      </c>
      <c r="P12" s="140" t="s">
        <v>388</v>
      </c>
      <c r="Z12" s="146"/>
      <c r="AA12" s="141"/>
    </row>
    <row r="13" spans="1:27" ht="28.5" customHeight="1">
      <c r="A13" s="405"/>
      <c r="B13" s="405"/>
      <c r="C13" s="423"/>
      <c r="D13" s="426"/>
      <c r="E13" s="398"/>
      <c r="F13" s="398"/>
      <c r="G13" s="401"/>
      <c r="H13" s="405"/>
      <c r="I13" s="287" t="s">
        <v>392</v>
      </c>
      <c r="J13" s="256" t="s">
        <v>176</v>
      </c>
      <c r="K13" s="408"/>
      <c r="L13" s="401"/>
      <c r="M13" s="147" t="s">
        <v>176</v>
      </c>
      <c r="N13" s="149" t="s">
        <v>253</v>
      </c>
      <c r="O13" s="152">
        <v>0.342</v>
      </c>
      <c r="P13" s="151" t="s">
        <v>389</v>
      </c>
      <c r="Y13" s="153"/>
      <c r="Z13" s="154"/>
      <c r="AA13" s="141"/>
    </row>
    <row r="14" spans="1:27" ht="40.5" customHeight="1" thickBot="1">
      <c r="A14" s="406"/>
      <c r="B14" s="406"/>
      <c r="C14" s="424"/>
      <c r="D14" s="427"/>
      <c r="E14" s="399"/>
      <c r="F14" s="399"/>
      <c r="G14" s="150">
        <f>O13</f>
        <v>0.342</v>
      </c>
      <c r="H14" s="406"/>
      <c r="I14" s="290" t="s">
        <v>176</v>
      </c>
      <c r="J14" s="256">
        <v>0.275</v>
      </c>
      <c r="K14" s="257">
        <v>0.78</v>
      </c>
      <c r="L14" s="288">
        <v>0.15</v>
      </c>
      <c r="M14" s="148"/>
      <c r="N14" s="155">
        <v>0.18</v>
      </c>
      <c r="Q14" s="140" t="s">
        <v>380</v>
      </c>
      <c r="Z14" s="146"/>
      <c r="AA14" s="141"/>
    </row>
    <row r="15" spans="1:27" ht="15.75" thickBot="1">
      <c r="A15" s="273">
        <v>1</v>
      </c>
      <c r="B15" s="156">
        <v>2</v>
      </c>
      <c r="C15" s="363"/>
      <c r="D15" s="157"/>
      <c r="E15" s="202"/>
      <c r="F15" s="202"/>
      <c r="G15" s="157"/>
      <c r="H15" s="157"/>
      <c r="I15" s="158"/>
      <c r="J15" s="258"/>
      <c r="K15" s="259"/>
      <c r="L15" s="159"/>
      <c r="M15" s="160">
        <v>3</v>
      </c>
      <c r="N15" s="156">
        <v>4</v>
      </c>
      <c r="Q15" s="151" t="s">
        <v>381</v>
      </c>
      <c r="R15" s="151" t="s">
        <v>382</v>
      </c>
      <c r="S15" s="151" t="s">
        <v>383</v>
      </c>
      <c r="T15" s="151" t="s">
        <v>387</v>
      </c>
      <c r="U15" s="151" t="s">
        <v>384</v>
      </c>
      <c r="V15" s="151" t="s">
        <v>385</v>
      </c>
      <c r="W15" s="151" t="s">
        <v>386</v>
      </c>
      <c r="Z15" s="146"/>
      <c r="AA15" s="141"/>
    </row>
    <row r="16" spans="1:23" ht="15">
      <c r="A16" s="270"/>
      <c r="B16" s="268"/>
      <c r="C16" s="364"/>
      <c r="D16" s="268"/>
      <c r="E16" s="269"/>
      <c r="F16" s="269"/>
      <c r="G16" s="268"/>
      <c r="H16" s="270"/>
      <c r="I16" s="270"/>
      <c r="J16" s="271"/>
      <c r="K16" s="271"/>
      <c r="L16" s="270"/>
      <c r="M16" s="270"/>
      <c r="N16" s="268"/>
      <c r="Q16" s="140">
        <v>1</v>
      </c>
      <c r="R16" s="140">
        <v>1.04</v>
      </c>
      <c r="S16" s="140">
        <v>1.09</v>
      </c>
      <c r="T16" s="140">
        <f>(S16+U16)/2</f>
        <v>1.116</v>
      </c>
      <c r="U16" s="140">
        <v>1.142</v>
      </c>
      <c r="V16" s="140">
        <v>1.268</v>
      </c>
      <c r="W16" s="140">
        <v>1.407</v>
      </c>
    </row>
    <row r="17" spans="1:14" ht="15">
      <c r="A17" s="161">
        <v>1</v>
      </c>
      <c r="B17" s="277" t="s">
        <v>250</v>
      </c>
      <c r="C17" s="365"/>
      <c r="D17" s="162"/>
      <c r="E17" s="203"/>
      <c r="F17" s="203"/>
      <c r="G17" s="162"/>
      <c r="H17" s="163"/>
      <c r="I17" s="163"/>
      <c r="J17" s="260"/>
      <c r="K17" s="260"/>
      <c r="L17" s="163"/>
      <c r="M17" s="163"/>
      <c r="N17" s="162"/>
    </row>
    <row r="18" spans="1:14" ht="15">
      <c r="A18" s="161"/>
      <c r="B18" s="277" t="s">
        <v>238</v>
      </c>
      <c r="C18" s="365"/>
      <c r="D18" s="162"/>
      <c r="E18" s="203"/>
      <c r="F18" s="203"/>
      <c r="G18" s="162"/>
      <c r="H18" s="163"/>
      <c r="I18" s="163"/>
      <c r="J18" s="260"/>
      <c r="K18" s="260"/>
      <c r="L18" s="163"/>
      <c r="M18" s="163"/>
      <c r="N18" s="162"/>
    </row>
    <row r="19" spans="1:14" ht="15">
      <c r="A19" s="163"/>
      <c r="B19" s="162" t="s">
        <v>241</v>
      </c>
      <c r="C19" s="365">
        <v>0.316</v>
      </c>
      <c r="D19" s="162">
        <v>0.5</v>
      </c>
      <c r="E19" s="282">
        <f>($O$8*S16*O11*O10)/O9*(C19+D19)</f>
        <v>35.04286114803626</v>
      </c>
      <c r="F19" s="282">
        <f>($O$8*S16*O12*O10)/O9*(C19+D19)</f>
        <v>3.5042861148036257</v>
      </c>
      <c r="G19" s="164">
        <f>(E19+F19)*$G$14</f>
        <v>13.183124363891242</v>
      </c>
      <c r="H19" s="165">
        <f>SUM(E19:G19)</f>
        <v>51.730271626731124</v>
      </c>
      <c r="I19" s="165">
        <f>H19*$I$12</f>
        <v>5.173027162673113</v>
      </c>
      <c r="J19" s="261">
        <f>(E19+F19)*$J$14</f>
        <v>10.60046549728097</v>
      </c>
      <c r="K19" s="261">
        <f>(E19+F19)*$K$14</f>
        <v>30.066774865015113</v>
      </c>
      <c r="L19" s="165">
        <f>(H19+I19+J19+K19)*$L$14</f>
        <v>14.63558087275505</v>
      </c>
      <c r="M19" s="165">
        <f>SUM(H19:L19)</f>
        <v>112.20612002445537</v>
      </c>
      <c r="N19" s="164">
        <f>M19+M19*$N$14</f>
        <v>132.40322162885735</v>
      </c>
    </row>
    <row r="20" spans="1:14" ht="15">
      <c r="A20" s="161"/>
      <c r="B20" s="162"/>
      <c r="C20" s="365"/>
      <c r="D20" s="162"/>
      <c r="E20" s="199"/>
      <c r="F20" s="199"/>
      <c r="G20" s="164"/>
      <c r="H20" s="165"/>
      <c r="I20" s="165"/>
      <c r="J20" s="261"/>
      <c r="K20" s="261"/>
      <c r="L20" s="165"/>
      <c r="M20" s="165"/>
      <c r="N20" s="164"/>
    </row>
    <row r="21" spans="1:14" ht="15">
      <c r="A21" s="161">
        <v>2</v>
      </c>
      <c r="B21" s="277" t="s">
        <v>240</v>
      </c>
      <c r="C21" s="365"/>
      <c r="D21" s="162"/>
      <c r="E21" s="203"/>
      <c r="F21" s="203"/>
      <c r="G21" s="162"/>
      <c r="H21" s="163"/>
      <c r="I21" s="163"/>
      <c r="J21" s="260"/>
      <c r="K21" s="260"/>
      <c r="L21" s="163"/>
      <c r="M21" s="163"/>
      <c r="N21" s="162"/>
    </row>
    <row r="22" spans="1:14" ht="15">
      <c r="A22" s="163"/>
      <c r="B22" s="162" t="s">
        <v>241</v>
      </c>
      <c r="C22" s="365">
        <v>0.19</v>
      </c>
      <c r="D22" s="162">
        <v>0.5</v>
      </c>
      <c r="E22" s="282">
        <f>($O$8*R16*O11*O10)/O9*(C22+D22)</f>
        <v>28.272572809667672</v>
      </c>
      <c r="F22" s="282">
        <f>($O$8*S16*O12*O10)/O9*(C22+D22)</f>
        <v>2.9631831117824774</v>
      </c>
      <c r="G22" s="164">
        <f>(E22+F22)*$G$14</f>
        <v>10.682628525135952</v>
      </c>
      <c r="H22" s="165">
        <f>SUM(E22:G22)</f>
        <v>41.9183844465861</v>
      </c>
      <c r="I22" s="165">
        <f>H22*$I$12</f>
        <v>4.19183844465861</v>
      </c>
      <c r="J22" s="261">
        <f>(E22+F22)*$J$14</f>
        <v>8.589832878398791</v>
      </c>
      <c r="K22" s="261">
        <f>(E22+F22)*$K$14</f>
        <v>24.36388961873112</v>
      </c>
      <c r="L22" s="165">
        <f>(H22+I22+J22+K22)*$L$14</f>
        <v>11.859591808256193</v>
      </c>
      <c r="M22" s="165">
        <f>SUM(H22:L22)</f>
        <v>90.92353719663082</v>
      </c>
      <c r="N22" s="164">
        <f>M22+M22*$N$14</f>
        <v>107.28977389202436</v>
      </c>
    </row>
    <row r="23" spans="1:14" ht="15">
      <c r="A23" s="163"/>
      <c r="B23" s="162"/>
      <c r="C23" s="365"/>
      <c r="D23" s="162"/>
      <c r="E23" s="199"/>
      <c r="F23" s="199"/>
      <c r="G23" s="164"/>
      <c r="H23" s="165"/>
      <c r="I23" s="165"/>
      <c r="J23" s="261"/>
      <c r="K23" s="261"/>
      <c r="L23" s="165"/>
      <c r="M23" s="165"/>
      <c r="N23" s="164"/>
    </row>
    <row r="24" spans="1:14" ht="15">
      <c r="A24" s="163">
        <v>3</v>
      </c>
      <c r="B24" s="277" t="s">
        <v>239</v>
      </c>
      <c r="C24" s="365"/>
      <c r="D24" s="162"/>
      <c r="E24" s="203"/>
      <c r="F24" s="203"/>
      <c r="G24" s="164"/>
      <c r="H24" s="165"/>
      <c r="I24" s="165"/>
      <c r="J24" s="261"/>
      <c r="K24" s="260"/>
      <c r="L24" s="163"/>
      <c r="M24" s="163"/>
      <c r="N24" s="162"/>
    </row>
    <row r="25" spans="1:14" ht="15">
      <c r="A25" s="163"/>
      <c r="B25" s="162" t="s">
        <v>242</v>
      </c>
      <c r="C25" s="365">
        <v>0.241</v>
      </c>
      <c r="D25" s="162">
        <v>0.5</v>
      </c>
      <c r="E25" s="282">
        <f>($O$8*T16*O11*O10)/O9*(C25+D25)</f>
        <v>32.58106705740182</v>
      </c>
      <c r="F25" s="282">
        <f>($O$8*T16*O12*O10)/O9*(C25+D25)</f>
        <v>3.258106705740181</v>
      </c>
      <c r="G25" s="164">
        <f>(E25+F25)*$G$14</f>
        <v>12.256997426994564</v>
      </c>
      <c r="H25" s="165">
        <f>SUM(E25:G25)</f>
        <v>48.096171190136566</v>
      </c>
      <c r="I25" s="165">
        <f>H25*$I$12</f>
        <v>4.809617119013657</v>
      </c>
      <c r="J25" s="261">
        <f>(E25+F25)*$J$14</f>
        <v>9.855772784864051</v>
      </c>
      <c r="K25" s="261">
        <f>(E25+F25)*$K$14</f>
        <v>27.954555535250762</v>
      </c>
      <c r="L25" s="165">
        <f>(H25+I25+J25+K25)*$L$14</f>
        <v>13.607417494389754</v>
      </c>
      <c r="M25" s="165">
        <f>SUM(H25:L25)</f>
        <v>104.32353412365478</v>
      </c>
      <c r="N25" s="164">
        <f>M25+M25*$N$14</f>
        <v>123.10177026591265</v>
      </c>
    </row>
    <row r="26" spans="1:14" ht="15" customHeight="1">
      <c r="A26" s="163"/>
      <c r="B26" s="162"/>
      <c r="C26" s="365"/>
      <c r="D26" s="162"/>
      <c r="E26" s="199"/>
      <c r="F26" s="199"/>
      <c r="G26" s="164"/>
      <c r="H26" s="165"/>
      <c r="I26" s="165"/>
      <c r="J26" s="261"/>
      <c r="K26" s="261"/>
      <c r="L26" s="165"/>
      <c r="M26" s="165"/>
      <c r="N26" s="164"/>
    </row>
    <row r="27" spans="1:14" ht="15">
      <c r="A27" s="163">
        <v>4</v>
      </c>
      <c r="B27" s="277" t="s">
        <v>287</v>
      </c>
      <c r="C27" s="365"/>
      <c r="D27" s="162"/>
      <c r="E27" s="199"/>
      <c r="F27" s="199"/>
      <c r="G27" s="164"/>
      <c r="H27" s="165"/>
      <c r="I27" s="165"/>
      <c r="J27" s="261"/>
      <c r="K27" s="261"/>
      <c r="L27" s="165"/>
      <c r="M27" s="165"/>
      <c r="N27" s="164"/>
    </row>
    <row r="28" spans="1:14" ht="15">
      <c r="A28" s="163"/>
      <c r="B28" s="162" t="s">
        <v>242</v>
      </c>
      <c r="C28" s="365">
        <v>0.861</v>
      </c>
      <c r="D28" s="162">
        <v>0.5</v>
      </c>
      <c r="E28" s="199">
        <f>(2666.8*1.116*1.25*1.15)/165.5*(C28+D28)</f>
        <v>35.18216989667674</v>
      </c>
      <c r="F28" s="199">
        <f>(2666.8*1.116*0.15)/165.5*(C28+D28)</f>
        <v>3.6711829457401817</v>
      </c>
      <c r="G28" s="164">
        <f>(E28+F28)*$G$14</f>
        <v>13.287846672106589</v>
      </c>
      <c r="H28" s="165">
        <f>SUM(E28:G28)</f>
        <v>52.141199514523514</v>
      </c>
      <c r="I28" s="165">
        <f>H28*0.1</f>
        <v>5.214119951452352</v>
      </c>
      <c r="J28" s="261">
        <f>(E28+F28)*$J$14</f>
        <v>10.684672031664656</v>
      </c>
      <c r="K28" s="261">
        <f>(E28+F28)*$K$14</f>
        <v>30.3056152170852</v>
      </c>
      <c r="L28" s="165">
        <f>(H28+I28+J28+K28)*0.05</f>
        <v>4.917280335736287</v>
      </c>
      <c r="M28" s="165">
        <f>SUM(H28:L28)</f>
        <v>103.26288705046201</v>
      </c>
      <c r="N28" s="164">
        <f>M28+M28*$N$14</f>
        <v>121.85020671954517</v>
      </c>
    </row>
    <row r="29" spans="1:14" ht="15">
      <c r="A29" s="163"/>
      <c r="B29" s="162"/>
      <c r="C29" s="365"/>
      <c r="D29" s="162"/>
      <c r="E29" s="199"/>
      <c r="F29" s="199"/>
      <c r="G29" s="164"/>
      <c r="H29" s="165"/>
      <c r="I29" s="165"/>
      <c r="J29" s="261"/>
      <c r="K29" s="261"/>
      <c r="L29" s="165"/>
      <c r="M29" s="165"/>
      <c r="N29" s="164"/>
    </row>
    <row r="30" spans="1:14" ht="15">
      <c r="A30" s="163">
        <v>5</v>
      </c>
      <c r="B30" s="277" t="s">
        <v>243</v>
      </c>
      <c r="C30" s="365"/>
      <c r="D30" s="162"/>
      <c r="E30" s="203"/>
      <c r="F30" s="203"/>
      <c r="G30" s="164"/>
      <c r="H30" s="165"/>
      <c r="I30" s="165"/>
      <c r="J30" s="261"/>
      <c r="K30" s="260"/>
      <c r="L30" s="163"/>
      <c r="M30" s="163"/>
      <c r="N30" s="162"/>
    </row>
    <row r="31" spans="1:14" ht="15">
      <c r="A31" s="163"/>
      <c r="B31" s="162" t="s">
        <v>242</v>
      </c>
      <c r="C31" s="365">
        <v>0.241</v>
      </c>
      <c r="D31" s="162">
        <v>0.5</v>
      </c>
      <c r="E31" s="282">
        <f>($O$8*T16*O11*O10)/O9*(C31+D31)</f>
        <v>32.58106705740182</v>
      </c>
      <c r="F31" s="282">
        <f>($O$8*T16*O12*O10)/O9*(C31+D31)</f>
        <v>3.258106705740181</v>
      </c>
      <c r="G31" s="164">
        <f>(E31+F31)*$G$14</f>
        <v>12.256997426994564</v>
      </c>
      <c r="H31" s="165">
        <f>SUM(E31:G31)</f>
        <v>48.096171190136566</v>
      </c>
      <c r="I31" s="165">
        <f>H31*$I$12</f>
        <v>4.809617119013657</v>
      </c>
      <c r="J31" s="261">
        <f>(E31+F31)*$J$14</f>
        <v>9.855772784864051</v>
      </c>
      <c r="K31" s="261">
        <f>(E31+F31)*$K$14</f>
        <v>27.954555535250762</v>
      </c>
      <c r="L31" s="165">
        <f>(H31+I31+J31+K31)*$L$14</f>
        <v>13.607417494389754</v>
      </c>
      <c r="M31" s="165">
        <f>SUM(H31:L31)</f>
        <v>104.32353412365478</v>
      </c>
      <c r="N31" s="164">
        <f>M31+M31*$N$14</f>
        <v>123.10177026591265</v>
      </c>
    </row>
    <row r="32" spans="1:14" ht="15">
      <c r="A32" s="163"/>
      <c r="B32" s="162"/>
      <c r="C32" s="365"/>
      <c r="D32" s="162"/>
      <c r="E32" s="199"/>
      <c r="F32" s="199"/>
      <c r="G32" s="164"/>
      <c r="H32" s="165"/>
      <c r="I32" s="165"/>
      <c r="J32" s="261"/>
      <c r="K32" s="261"/>
      <c r="L32" s="165"/>
      <c r="M32" s="165"/>
      <c r="N32" s="164"/>
    </row>
    <row r="33" spans="1:14" ht="15">
      <c r="A33" s="163">
        <v>6</v>
      </c>
      <c r="B33" s="277" t="s">
        <v>430</v>
      </c>
      <c r="C33" s="365"/>
      <c r="D33" s="162"/>
      <c r="E33" s="203"/>
      <c r="F33" s="203"/>
      <c r="G33" s="164"/>
      <c r="H33" s="165"/>
      <c r="I33" s="165"/>
      <c r="J33" s="261"/>
      <c r="K33" s="260"/>
      <c r="L33" s="163"/>
      <c r="M33" s="163"/>
      <c r="N33" s="162"/>
    </row>
    <row r="34" spans="1:14" ht="15">
      <c r="A34" s="163"/>
      <c r="B34" s="162" t="s">
        <v>242</v>
      </c>
      <c r="C34" s="365">
        <f>0.241+0.2</f>
        <v>0.441</v>
      </c>
      <c r="D34" s="162">
        <v>0.5</v>
      </c>
      <c r="E34" s="282">
        <f>($O$8*T16*O11*O10)/O9*(C34+D34)</f>
        <v>41.37487732930514</v>
      </c>
      <c r="F34" s="282">
        <f>($O$8*T16*O12*O10)/O9*(C34+D34)</f>
        <v>4.137487732930514</v>
      </c>
      <c r="G34" s="164">
        <f>(E34+F34)*$G$14</f>
        <v>15.565228851284596</v>
      </c>
      <c r="H34" s="165">
        <f>SUM(E34:G34)</f>
        <v>61.07759391352025</v>
      </c>
      <c r="I34" s="165">
        <f>H34*$I$12</f>
        <v>6.107759391352026</v>
      </c>
      <c r="J34" s="261">
        <f>(E34+F34)*$J$14</f>
        <v>12.515900392114807</v>
      </c>
      <c r="K34" s="261">
        <f>(E34+F34)*$K$14</f>
        <v>35.499644748543815</v>
      </c>
      <c r="L34" s="165">
        <f>(H34+I34+J34+K34)*$L$14</f>
        <v>17.280134766829633</v>
      </c>
      <c r="M34" s="165">
        <f>SUM(H34:L34)</f>
        <v>132.48103321236053</v>
      </c>
      <c r="N34" s="164">
        <f>M34+M34*$N$14</f>
        <v>156.32761919058544</v>
      </c>
    </row>
    <row r="35" spans="1:14" ht="15">
      <c r="A35" s="163"/>
      <c r="B35" s="162"/>
      <c r="C35" s="365"/>
      <c r="D35" s="162"/>
      <c r="E35" s="199"/>
      <c r="F35" s="199"/>
      <c r="G35" s="164"/>
      <c r="H35" s="165"/>
      <c r="I35" s="165"/>
      <c r="J35" s="261"/>
      <c r="K35" s="261"/>
      <c r="L35" s="165"/>
      <c r="M35" s="165"/>
      <c r="N35" s="164"/>
    </row>
    <row r="36" spans="1:14" ht="15">
      <c r="A36" s="163">
        <v>7</v>
      </c>
      <c r="B36" s="277" t="s">
        <v>248</v>
      </c>
      <c r="C36" s="365"/>
      <c r="D36" s="162"/>
      <c r="E36" s="203"/>
      <c r="F36" s="203"/>
      <c r="G36" s="164"/>
      <c r="H36" s="165"/>
      <c r="I36" s="165"/>
      <c r="J36" s="261"/>
      <c r="K36" s="260"/>
      <c r="L36" s="163"/>
      <c r="M36" s="163"/>
      <c r="N36" s="162"/>
    </row>
    <row r="37" spans="1:14" ht="15">
      <c r="A37" s="163"/>
      <c r="B37" s="162" t="s">
        <v>245</v>
      </c>
      <c r="C37" s="365">
        <v>0.891</v>
      </c>
      <c r="D37" s="162">
        <v>0.5</v>
      </c>
      <c r="E37" s="282">
        <f>($O$8*U16*O11*O10)/O9*(C37+D37)</f>
        <v>62.58584713595165</v>
      </c>
      <c r="F37" s="282">
        <f>($O$8*U16*O12*O10)/O9*(C37+D37)</f>
        <v>6.258584713595165</v>
      </c>
      <c r="G37" s="164">
        <f>(E37+F37)*$G$14</f>
        <v>23.544795692545016</v>
      </c>
      <c r="H37" s="165">
        <f>SUM(E37:G37)</f>
        <v>92.38922754209185</v>
      </c>
      <c r="I37" s="165">
        <f>H37*$I$12</f>
        <v>9.238922754209185</v>
      </c>
      <c r="J37" s="261">
        <f>(E37+F37)*$J$14</f>
        <v>18.93221875862538</v>
      </c>
      <c r="K37" s="261">
        <f>(E37+F37)*$K$14</f>
        <v>53.69865684264652</v>
      </c>
      <c r="L37" s="165">
        <f>(H37+I37+J37+K37)*$L$14</f>
        <v>26.13885388463594</v>
      </c>
      <c r="M37" s="165">
        <f>SUM(H37:L37)</f>
        <v>200.3978797822089</v>
      </c>
      <c r="N37" s="164">
        <f>M37+M37*$N$14</f>
        <v>236.4694981430065</v>
      </c>
    </row>
    <row r="38" spans="1:14" ht="15">
      <c r="A38" s="163"/>
      <c r="B38" s="162"/>
      <c r="C38" s="365"/>
      <c r="D38" s="162"/>
      <c r="E38" s="199"/>
      <c r="F38" s="199"/>
      <c r="G38" s="164"/>
      <c r="H38" s="165"/>
      <c r="I38" s="165"/>
      <c r="J38" s="261"/>
      <c r="K38" s="261"/>
      <c r="L38" s="165"/>
      <c r="M38" s="165"/>
      <c r="N38" s="164"/>
    </row>
    <row r="39" spans="1:14" ht="15">
      <c r="A39" s="163">
        <v>8</v>
      </c>
      <c r="B39" s="277" t="s">
        <v>249</v>
      </c>
      <c r="C39" s="365"/>
      <c r="D39" s="162"/>
      <c r="E39" s="203"/>
      <c r="F39" s="203"/>
      <c r="G39" s="164"/>
      <c r="H39" s="165"/>
      <c r="I39" s="165"/>
      <c r="J39" s="261"/>
      <c r="K39" s="260"/>
      <c r="L39" s="163"/>
      <c r="M39" s="163"/>
      <c r="N39" s="162"/>
    </row>
    <row r="40" spans="1:14" ht="15">
      <c r="A40" s="163"/>
      <c r="B40" s="277" t="s">
        <v>129</v>
      </c>
      <c r="C40" s="365"/>
      <c r="D40" s="162"/>
      <c r="E40" s="203"/>
      <c r="F40" s="203"/>
      <c r="G40" s="164"/>
      <c r="H40" s="165"/>
      <c r="I40" s="165"/>
      <c r="J40" s="261"/>
      <c r="K40" s="260"/>
      <c r="L40" s="163"/>
      <c r="M40" s="163"/>
      <c r="N40" s="162"/>
    </row>
    <row r="41" spans="1:14" ht="15">
      <c r="A41" s="163"/>
      <c r="B41" s="162" t="s">
        <v>245</v>
      </c>
      <c r="C41" s="365">
        <v>1.633</v>
      </c>
      <c r="D41" s="162">
        <v>0.5</v>
      </c>
      <c r="E41" s="282">
        <f>($O$8*U16*O11*O10)/O9*(C41+D41)</f>
        <v>95.9709647311178</v>
      </c>
      <c r="F41" s="282">
        <f>($O$8*U16*O12*O10)/O9*(C41+D41)</f>
        <v>9.597096473111781</v>
      </c>
      <c r="G41" s="164">
        <f>(E41+F41)*$G$14</f>
        <v>36.10427693184652</v>
      </c>
      <c r="H41" s="165">
        <f>SUM(E41:G41)</f>
        <v>141.6723381360761</v>
      </c>
      <c r="I41" s="165">
        <f>H41*$I$12</f>
        <v>14.16723381360761</v>
      </c>
      <c r="J41" s="261">
        <f>(E41+F41)*$J$14</f>
        <v>29.031216831163135</v>
      </c>
      <c r="K41" s="261">
        <f>(E41+F41)*$K$14</f>
        <v>82.34308773929908</v>
      </c>
      <c r="L41" s="165">
        <f>(H41+I41+J41+K41)*$L$14</f>
        <v>40.08208147802189</v>
      </c>
      <c r="M41" s="165">
        <f>SUM(H41:L41)</f>
        <v>307.29595799816786</v>
      </c>
      <c r="N41" s="164">
        <f>M41+M41*$N$14</f>
        <v>362.60923043783805</v>
      </c>
    </row>
    <row r="42" spans="1:14" ht="15">
      <c r="A42" s="163"/>
      <c r="B42" s="278"/>
      <c r="C42" s="365"/>
      <c r="D42" s="162"/>
      <c r="E42" s="199"/>
      <c r="F42" s="199"/>
      <c r="G42" s="164"/>
      <c r="H42" s="165"/>
      <c r="I42" s="165"/>
      <c r="J42" s="261"/>
      <c r="K42" s="261"/>
      <c r="L42" s="165"/>
      <c r="M42" s="165"/>
      <c r="N42" s="164"/>
    </row>
    <row r="43" spans="1:14" ht="15">
      <c r="A43" s="163">
        <v>9</v>
      </c>
      <c r="B43" s="277" t="s">
        <v>252</v>
      </c>
      <c r="C43" s="365"/>
      <c r="D43" s="162"/>
      <c r="E43" s="203"/>
      <c r="F43" s="203"/>
      <c r="G43" s="164"/>
      <c r="H43" s="165"/>
      <c r="I43" s="165"/>
      <c r="J43" s="261"/>
      <c r="K43" s="260"/>
      <c r="L43" s="163"/>
      <c r="M43" s="163"/>
      <c r="N43" s="162"/>
    </row>
    <row r="44" spans="1:14" ht="15">
      <c r="A44" s="163"/>
      <c r="B44" s="162" t="s">
        <v>251</v>
      </c>
      <c r="C44" s="365">
        <v>0.075</v>
      </c>
      <c r="D44" s="162">
        <v>0.5</v>
      </c>
      <c r="E44" s="282">
        <f>($O$8*S16*O11*O10)/O9*(C44+D44)</f>
        <v>24.69319259818731</v>
      </c>
      <c r="F44" s="282">
        <f>($O$8*S16*O12*O10)/O9*(C44+D44)</f>
        <v>2.469319259818731</v>
      </c>
      <c r="G44" s="164">
        <f>(E44+F44)*$G$14</f>
        <v>9.289579055438066</v>
      </c>
      <c r="H44" s="165">
        <f>SUM(E44:G44)</f>
        <v>36.45209091344411</v>
      </c>
      <c r="I44" s="165">
        <f>H44*$I$12</f>
        <v>3.645209091344411</v>
      </c>
      <c r="J44" s="261">
        <f>(E44+F44)*$J$14</f>
        <v>7.469690760951662</v>
      </c>
      <c r="K44" s="261">
        <f>(E44+F44)*$K$14</f>
        <v>21.186759249244712</v>
      </c>
      <c r="L44" s="165">
        <f>(H44+I44+J44+K44)*$L$14</f>
        <v>10.313062502247735</v>
      </c>
      <c r="M44" s="165">
        <f>SUM(H44:L44)</f>
        <v>79.06681251723263</v>
      </c>
      <c r="N44" s="164">
        <f>M44+M44*$N$14</f>
        <v>93.29883877033451</v>
      </c>
    </row>
    <row r="45" spans="1:14" ht="15">
      <c r="A45" s="163"/>
      <c r="B45" s="162"/>
      <c r="C45" s="365"/>
      <c r="D45" s="162"/>
      <c r="E45" s="199"/>
      <c r="F45" s="199"/>
      <c r="G45" s="164"/>
      <c r="H45" s="165"/>
      <c r="I45" s="165"/>
      <c r="J45" s="261"/>
      <c r="K45" s="261"/>
      <c r="L45" s="165"/>
      <c r="M45" s="165"/>
      <c r="N45" s="164"/>
    </row>
    <row r="46" spans="1:14" ht="15">
      <c r="A46" s="163">
        <v>10</v>
      </c>
      <c r="B46" s="277" t="s">
        <v>394</v>
      </c>
      <c r="C46" s="365"/>
      <c r="D46" s="162"/>
      <c r="E46" s="203"/>
      <c r="F46" s="203"/>
      <c r="G46" s="166"/>
      <c r="H46" s="167"/>
      <c r="I46" s="167"/>
      <c r="J46" s="262"/>
      <c r="K46" s="260"/>
      <c r="L46" s="163"/>
      <c r="M46" s="163"/>
      <c r="N46" s="162"/>
    </row>
    <row r="47" spans="1:14" ht="15">
      <c r="A47" s="163"/>
      <c r="B47" s="162" t="s">
        <v>251</v>
      </c>
      <c r="C47" s="365">
        <v>1.06</v>
      </c>
      <c r="D47" s="162">
        <v>0.5</v>
      </c>
      <c r="E47" s="282">
        <f>($O$8*S16*O11*O10)/O9*(C47+D47)</f>
        <v>66.99370513595167</v>
      </c>
      <c r="F47" s="282">
        <f>($O$8*S16*O12*O10)/O9*(C47+D47)</f>
        <v>6.699370513595166</v>
      </c>
      <c r="G47" s="164">
        <f>(E47+F47)*$G$14</f>
        <v>25.203031872145022</v>
      </c>
      <c r="H47" s="165">
        <f>SUM(E47:G47)</f>
        <v>98.89610752169186</v>
      </c>
      <c r="I47" s="165">
        <f>H47*$I$12</f>
        <v>9.889610752169187</v>
      </c>
      <c r="J47" s="261">
        <f>(E47+F47)*$J$14</f>
        <v>20.265595803625384</v>
      </c>
      <c r="K47" s="261">
        <f>(E47+F47)*$K$14</f>
        <v>57.480599006646536</v>
      </c>
      <c r="L47" s="165">
        <f>(H47+I47+J47+K47)*$L$14</f>
        <v>27.979786962619947</v>
      </c>
      <c r="M47" s="165">
        <f>SUM(H47:L47)</f>
        <v>214.51170004675294</v>
      </c>
      <c r="N47" s="164">
        <f>M47+M47*$N$14</f>
        <v>253.12380605516847</v>
      </c>
    </row>
    <row r="48" spans="1:14" ht="15">
      <c r="A48" s="163"/>
      <c r="B48" s="162"/>
      <c r="C48" s="365"/>
      <c r="D48" s="162"/>
      <c r="E48" s="203"/>
      <c r="F48" s="203"/>
      <c r="G48" s="166"/>
      <c r="H48" s="167"/>
      <c r="I48" s="167"/>
      <c r="J48" s="262"/>
      <c r="K48" s="260"/>
      <c r="L48" s="163"/>
      <c r="M48" s="163"/>
      <c r="N48" s="162"/>
    </row>
    <row r="49" spans="1:14" ht="15">
      <c r="A49" s="163">
        <v>11</v>
      </c>
      <c r="B49" s="277" t="s">
        <v>398</v>
      </c>
      <c r="C49" s="365"/>
      <c r="D49" s="162"/>
      <c r="E49" s="203"/>
      <c r="F49" s="203"/>
      <c r="G49" s="166"/>
      <c r="H49" s="167"/>
      <c r="I49" s="167"/>
      <c r="J49" s="262"/>
      <c r="K49" s="260"/>
      <c r="L49" s="163"/>
      <c r="M49" s="163"/>
      <c r="N49" s="162"/>
    </row>
    <row r="50" spans="1:14" ht="15">
      <c r="A50" s="163"/>
      <c r="B50" s="162" t="s">
        <v>251</v>
      </c>
      <c r="C50" s="365">
        <v>0.38</v>
      </c>
      <c r="D50" s="162">
        <v>0.5</v>
      </c>
      <c r="E50" s="282">
        <f>($O$8*S16*O11*O10)/O9*(C50+D50)</f>
        <v>37.791320845921454</v>
      </c>
      <c r="F50" s="282">
        <f>($O$8*S16*O12*O10)/O9*(C50+D50)</f>
        <v>3.7791320845921454</v>
      </c>
      <c r="G50" s="164">
        <f>(E50+F50)*$G$14</f>
        <v>14.217094902235651</v>
      </c>
      <c r="H50" s="165">
        <f>SUM(E50:G50)</f>
        <v>55.78754783274925</v>
      </c>
      <c r="I50" s="165">
        <f>H50*$I$12</f>
        <v>5.578754783274925</v>
      </c>
      <c r="J50" s="261">
        <f>(E50+F50)*$J$14</f>
        <v>11.43187455589124</v>
      </c>
      <c r="K50" s="261">
        <f>(E50+F50)*$K$14</f>
        <v>32.424953285800605</v>
      </c>
      <c r="L50" s="165">
        <f>(H50+I50+J50+K50)*$L$14</f>
        <v>15.783469568657402</v>
      </c>
      <c r="M50" s="165">
        <f>SUM(H50:L50)</f>
        <v>121.00660002637343</v>
      </c>
      <c r="N50" s="164">
        <f>M50+M50*$N$14</f>
        <v>142.78778803112064</v>
      </c>
    </row>
    <row r="51" spans="1:14" ht="15">
      <c r="A51" s="163"/>
      <c r="B51" s="162"/>
      <c r="C51" s="365"/>
      <c r="D51" s="162"/>
      <c r="E51" s="203"/>
      <c r="F51" s="203"/>
      <c r="G51" s="166"/>
      <c r="H51" s="167"/>
      <c r="I51" s="167"/>
      <c r="J51" s="262"/>
      <c r="K51" s="261"/>
      <c r="L51" s="165"/>
      <c r="M51" s="165"/>
      <c r="N51" s="164"/>
    </row>
    <row r="52" spans="1:14" ht="15">
      <c r="A52" s="163">
        <v>12</v>
      </c>
      <c r="B52" s="277" t="s">
        <v>244</v>
      </c>
      <c r="C52" s="365"/>
      <c r="D52" s="162"/>
      <c r="E52" s="203"/>
      <c r="F52" s="203"/>
      <c r="G52" s="166"/>
      <c r="H52" s="167"/>
      <c r="I52" s="167"/>
      <c r="J52" s="262"/>
      <c r="K52" s="261"/>
      <c r="L52" s="165"/>
      <c r="M52" s="165"/>
      <c r="N52" s="164"/>
    </row>
    <row r="53" spans="1:14" ht="15">
      <c r="A53" s="163"/>
      <c r="B53" s="162" t="s">
        <v>245</v>
      </c>
      <c r="C53" s="365">
        <v>0.873</v>
      </c>
      <c r="D53" s="162">
        <v>0.5</v>
      </c>
      <c r="E53" s="282">
        <f>($O$8*U16*O11*O10)/O9*(C53+D53)</f>
        <v>61.775965577039265</v>
      </c>
      <c r="F53" s="282">
        <f>($O$8*U16*O12*O10)/O9*(C53+D53)</f>
        <v>6.177596557703926</v>
      </c>
      <c r="G53" s="164">
        <f>(E53+F53)*$G$14</f>
        <v>23.240118250082173</v>
      </c>
      <c r="H53" s="165">
        <f>SUM(E53:G53)</f>
        <v>91.19368038482537</v>
      </c>
      <c r="I53" s="165">
        <f>H53*$I$12</f>
        <v>9.119368038482538</v>
      </c>
      <c r="J53" s="261">
        <f>(E53+F53)*$J$14</f>
        <v>18.68722958705438</v>
      </c>
      <c r="K53" s="261">
        <f>(E53+F53)*$K$14</f>
        <v>53.00377846509969</v>
      </c>
      <c r="L53" s="165">
        <f>(H53+I53+J53+K53)*$L$14</f>
        <v>25.800608471319293</v>
      </c>
      <c r="M53" s="165">
        <f>SUM(H53:L53)</f>
        <v>197.80466494678126</v>
      </c>
      <c r="N53" s="164">
        <f>M53+M53*$N$14</f>
        <v>233.40950463720188</v>
      </c>
    </row>
    <row r="54" spans="1:14" ht="15">
      <c r="A54" s="274"/>
      <c r="B54" s="168"/>
      <c r="C54" s="366"/>
      <c r="D54" s="168"/>
      <c r="E54" s="206"/>
      <c r="F54" s="206"/>
      <c r="G54" s="169"/>
      <c r="H54" s="170"/>
      <c r="I54" s="170"/>
      <c r="J54" s="263"/>
      <c r="K54" s="263"/>
      <c r="L54" s="170"/>
      <c r="M54" s="170"/>
      <c r="N54" s="169"/>
    </row>
    <row r="55" spans="1:14" ht="15">
      <c r="A55" s="274">
        <v>13</v>
      </c>
      <c r="B55" s="279" t="s">
        <v>246</v>
      </c>
      <c r="C55" s="366"/>
      <c r="D55" s="168"/>
      <c r="E55" s="206"/>
      <c r="F55" s="206"/>
      <c r="G55" s="169"/>
      <c r="H55" s="170"/>
      <c r="I55" s="170"/>
      <c r="J55" s="263"/>
      <c r="K55" s="263"/>
      <c r="L55" s="170"/>
      <c r="M55" s="170"/>
      <c r="N55" s="169"/>
    </row>
    <row r="56" spans="1:14" ht="15">
      <c r="A56" s="274"/>
      <c r="B56" s="162" t="s">
        <v>247</v>
      </c>
      <c r="C56" s="365">
        <v>0.396</v>
      </c>
      <c r="D56" s="162">
        <v>0.5</v>
      </c>
      <c r="E56" s="282">
        <f>($O$8*R16*O11*O10)/O9*(C56+D56)</f>
        <v>36.71336990936556</v>
      </c>
      <c r="F56" s="282">
        <f>($O$8*R16*O12*O10)/O9*(C56+D56)</f>
        <v>3.671336990936556</v>
      </c>
      <c r="G56" s="164">
        <f>(E56+F56)*$G$14</f>
        <v>13.811569759903326</v>
      </c>
      <c r="H56" s="165">
        <f>SUM(E56:G56)</f>
        <v>54.19627666020545</v>
      </c>
      <c r="I56" s="165">
        <f>H56*$I$12</f>
        <v>5.419627666020546</v>
      </c>
      <c r="J56" s="261">
        <f>(E56+F56)*$J$14</f>
        <v>11.105794397583084</v>
      </c>
      <c r="K56" s="261">
        <f>(E56+F56)*$K$14</f>
        <v>31.500071382235657</v>
      </c>
      <c r="L56" s="165">
        <f>(H56+I56+J56+K56)*$L$14</f>
        <v>15.33326551590671</v>
      </c>
      <c r="M56" s="165">
        <f>SUM(H56:L56)</f>
        <v>117.55503562195145</v>
      </c>
      <c r="N56" s="164">
        <f>M56+M56*$N$14</f>
        <v>138.7149420339027</v>
      </c>
    </row>
    <row r="57" spans="1:14" ht="15">
      <c r="A57" s="274"/>
      <c r="B57" s="168"/>
      <c r="C57" s="366"/>
      <c r="D57" s="168"/>
      <c r="E57" s="206"/>
      <c r="F57" s="206"/>
      <c r="G57" s="169"/>
      <c r="H57" s="170"/>
      <c r="I57" s="170"/>
      <c r="J57" s="263"/>
      <c r="K57" s="263"/>
      <c r="L57" s="170"/>
      <c r="M57" s="170"/>
      <c r="N57" s="169"/>
    </row>
    <row r="58" spans="1:14" ht="15">
      <c r="A58" s="274">
        <v>14</v>
      </c>
      <c r="B58" s="277" t="s">
        <v>288</v>
      </c>
      <c r="C58" s="366"/>
      <c r="D58" s="168"/>
      <c r="E58" s="206"/>
      <c r="F58" s="206"/>
      <c r="G58" s="169"/>
      <c r="H58" s="170"/>
      <c r="I58" s="170"/>
      <c r="J58" s="263"/>
      <c r="K58" s="263"/>
      <c r="L58" s="170"/>
      <c r="M58" s="170"/>
      <c r="N58" s="169"/>
    </row>
    <row r="59" spans="1:14" ht="15">
      <c r="A59" s="274"/>
      <c r="B59" s="162" t="s">
        <v>245</v>
      </c>
      <c r="C59" s="366">
        <v>0.139</v>
      </c>
      <c r="D59" s="162">
        <v>0.5</v>
      </c>
      <c r="E59" s="282">
        <f>($O$8*U16*O11*O10)/O9*(C59+D59)</f>
        <v>28.750795341389722</v>
      </c>
      <c r="F59" s="282">
        <f>($O$8*U16*O12*O10)/O9*(C59+D59)</f>
        <v>2.875079534138972</v>
      </c>
      <c r="G59" s="164">
        <f>(E59+F59)*$G$14</f>
        <v>10.816049207430815</v>
      </c>
      <c r="H59" s="165">
        <f>SUM(E59:G59)</f>
        <v>42.44192408295951</v>
      </c>
      <c r="I59" s="165">
        <f>H59*$I$12</f>
        <v>4.244192408295951</v>
      </c>
      <c r="J59" s="261">
        <f>(E59+F59)*$J$14</f>
        <v>8.697115590770391</v>
      </c>
      <c r="K59" s="261">
        <f>(E59+F59)*$K$14</f>
        <v>24.668182402912382</v>
      </c>
      <c r="L59" s="165">
        <f>(H59+I59+J59+K59)*$L$14</f>
        <v>12.007712172740735</v>
      </c>
      <c r="M59" s="165">
        <f>SUM(H59:L59)</f>
        <v>92.05912665767897</v>
      </c>
      <c r="N59" s="164">
        <f>M59+M59*$N$14</f>
        <v>108.62976945606118</v>
      </c>
    </row>
    <row r="60" spans="1:14" ht="15">
      <c r="A60" s="274"/>
      <c r="B60" s="168"/>
      <c r="C60" s="366"/>
      <c r="D60" s="168"/>
      <c r="E60" s="206"/>
      <c r="F60" s="206"/>
      <c r="G60" s="169"/>
      <c r="H60" s="170"/>
      <c r="I60" s="170"/>
      <c r="J60" s="263"/>
      <c r="K60" s="263"/>
      <c r="L60" s="170"/>
      <c r="M60" s="170"/>
      <c r="N60" s="169"/>
    </row>
    <row r="61" spans="1:14" ht="15">
      <c r="A61" s="274">
        <v>15</v>
      </c>
      <c r="B61" s="277" t="s">
        <v>289</v>
      </c>
      <c r="C61" s="366"/>
      <c r="D61" s="168"/>
      <c r="E61" s="206"/>
      <c r="F61" s="206"/>
      <c r="G61" s="169"/>
      <c r="H61" s="170"/>
      <c r="I61" s="170"/>
      <c r="J61" s="263"/>
      <c r="K61" s="263"/>
      <c r="L61" s="170"/>
      <c r="M61" s="170"/>
      <c r="N61" s="169"/>
    </row>
    <row r="62" spans="1:14" ht="15">
      <c r="A62" s="274"/>
      <c r="B62" s="162" t="s">
        <v>245</v>
      </c>
      <c r="C62" s="366">
        <v>0.429</v>
      </c>
      <c r="D62" s="162">
        <v>0.5</v>
      </c>
      <c r="E62" s="282">
        <f>($O$8*U16*O11*O10)/O9*(C62+D62)</f>
        <v>41.79888712386706</v>
      </c>
      <c r="F62" s="282">
        <f>($O$8*U16*O12*O10)/O9*(C62+D62)</f>
        <v>4.179888712386706</v>
      </c>
      <c r="G62" s="164">
        <f>(E62+F62)*$G$14</f>
        <v>15.72474133599879</v>
      </c>
      <c r="H62" s="165">
        <f>SUM(E62:G62)</f>
        <v>61.70351717225256</v>
      </c>
      <c r="I62" s="165">
        <f>H62*$I$12</f>
        <v>6.170351717225256</v>
      </c>
      <c r="J62" s="261">
        <f>(E62+F62)*$J$14</f>
        <v>12.644163354969788</v>
      </c>
      <c r="K62" s="261">
        <f>(E62+F62)*$K$14</f>
        <v>35.86344515227794</v>
      </c>
      <c r="L62" s="165">
        <f>(H62+I62+J62+K62)*$L$14</f>
        <v>17.45722160950883</v>
      </c>
      <c r="M62" s="165">
        <f>SUM(H62:L62)</f>
        <v>133.83869900623438</v>
      </c>
      <c r="N62" s="164">
        <f>M62+M62*$N$14</f>
        <v>157.92966482735656</v>
      </c>
    </row>
    <row r="63" spans="1:14" ht="15">
      <c r="A63" s="274"/>
      <c r="B63" s="168"/>
      <c r="C63" s="366"/>
      <c r="D63" s="168"/>
      <c r="E63" s="206"/>
      <c r="F63" s="206"/>
      <c r="G63" s="169"/>
      <c r="H63" s="170"/>
      <c r="I63" s="170"/>
      <c r="J63" s="263"/>
      <c r="K63" s="263"/>
      <c r="L63" s="170"/>
      <c r="M63" s="170"/>
      <c r="N63" s="169"/>
    </row>
    <row r="64" spans="1:15" ht="29.25" customHeight="1">
      <c r="A64" s="275">
        <v>16</v>
      </c>
      <c r="B64" s="280" t="s">
        <v>332</v>
      </c>
      <c r="C64" s="413" t="s">
        <v>434</v>
      </c>
      <c r="D64" s="414"/>
      <c r="E64" s="414"/>
      <c r="F64" s="414"/>
      <c r="G64" s="415"/>
      <c r="H64" s="170"/>
      <c r="I64" s="170"/>
      <c r="J64" s="263"/>
      <c r="K64" s="263"/>
      <c r="L64" s="170"/>
      <c r="M64" s="263">
        <f aca="true" t="shared" si="0" ref="M64:M69">N64/1.18</f>
        <v>113.38983050847457</v>
      </c>
      <c r="N64" s="169">
        <f>111.5*1.2</f>
        <v>133.79999999999998</v>
      </c>
      <c r="O64" s="142">
        <f>11.13*2.57*1.18</f>
        <v>33.752838</v>
      </c>
    </row>
    <row r="65" spans="1:15" ht="15">
      <c r="A65" s="275">
        <v>17</v>
      </c>
      <c r="B65" s="280" t="s">
        <v>333</v>
      </c>
      <c r="C65" s="416"/>
      <c r="D65" s="417"/>
      <c r="E65" s="417"/>
      <c r="F65" s="417"/>
      <c r="G65" s="418"/>
      <c r="H65" s="170"/>
      <c r="I65" s="170"/>
      <c r="J65" s="263"/>
      <c r="K65" s="263"/>
      <c r="L65" s="170"/>
      <c r="M65" s="263">
        <f t="shared" si="0"/>
        <v>30.986440677966105</v>
      </c>
      <c r="N65" s="169">
        <f>30.47*1.2</f>
        <v>36.564</v>
      </c>
      <c r="O65" s="142">
        <f>3.19*2.57*1.18</f>
        <v>9.673993999999999</v>
      </c>
    </row>
    <row r="66" spans="1:15" ht="15">
      <c r="A66" s="275">
        <v>18</v>
      </c>
      <c r="B66" s="280" t="s">
        <v>334</v>
      </c>
      <c r="C66" s="416"/>
      <c r="D66" s="417"/>
      <c r="E66" s="417"/>
      <c r="F66" s="417"/>
      <c r="G66" s="418"/>
      <c r="H66" s="170"/>
      <c r="I66" s="170"/>
      <c r="J66" s="263"/>
      <c r="K66" s="263"/>
      <c r="L66" s="170"/>
      <c r="M66" s="263">
        <f t="shared" si="0"/>
        <v>148.5254237288136</v>
      </c>
      <c r="N66" s="169">
        <f>146.05*1.2</f>
        <v>175.26000000000002</v>
      </c>
      <c r="O66" s="142">
        <f>15.35*2.57*1.18</f>
        <v>46.55040999999999</v>
      </c>
    </row>
    <row r="67" spans="1:15" ht="15">
      <c r="A67" s="275">
        <v>19</v>
      </c>
      <c r="B67" s="280" t="s">
        <v>337</v>
      </c>
      <c r="C67" s="416"/>
      <c r="D67" s="417"/>
      <c r="E67" s="417"/>
      <c r="F67" s="417"/>
      <c r="G67" s="418"/>
      <c r="H67" s="170"/>
      <c r="I67" s="170"/>
      <c r="J67" s="263"/>
      <c r="K67" s="263"/>
      <c r="L67" s="170"/>
      <c r="M67" s="263">
        <f t="shared" si="0"/>
        <v>20.308474576271188</v>
      </c>
      <c r="N67" s="169">
        <f>19.97*1.2</f>
        <v>23.964</v>
      </c>
      <c r="O67" s="142">
        <f>2.09*1.18*2.57</f>
        <v>6.338133999999999</v>
      </c>
    </row>
    <row r="68" spans="1:15" ht="15">
      <c r="A68" s="276">
        <v>20</v>
      </c>
      <c r="B68" s="267" t="s">
        <v>335</v>
      </c>
      <c r="C68" s="416"/>
      <c r="D68" s="417"/>
      <c r="E68" s="417"/>
      <c r="F68" s="417"/>
      <c r="G68" s="418"/>
      <c r="H68" s="165"/>
      <c r="I68" s="165"/>
      <c r="J68" s="261"/>
      <c r="K68" s="261"/>
      <c r="L68" s="165"/>
      <c r="M68" s="263">
        <f t="shared" si="0"/>
        <v>116.51186440677965</v>
      </c>
      <c r="N68" s="164">
        <f>114.57*1.2</f>
        <v>137.48399999999998</v>
      </c>
      <c r="O68" s="142">
        <f>19.21*2.57*1.18</f>
        <v>58.256246</v>
      </c>
    </row>
    <row r="69" spans="1:15" ht="15.75" thickBot="1">
      <c r="A69" s="276">
        <v>21</v>
      </c>
      <c r="B69" s="267" t="s">
        <v>336</v>
      </c>
      <c r="C69" s="419"/>
      <c r="D69" s="420"/>
      <c r="E69" s="420"/>
      <c r="F69" s="420"/>
      <c r="G69" s="421"/>
      <c r="H69" s="265"/>
      <c r="I69" s="265"/>
      <c r="J69" s="266"/>
      <c r="K69" s="266"/>
      <c r="L69" s="265"/>
      <c r="M69" s="263">
        <f t="shared" si="0"/>
        <v>388.4440677966102</v>
      </c>
      <c r="N69" s="164">
        <f>381.97*1.2</f>
        <v>458.36400000000003</v>
      </c>
      <c r="O69" s="142">
        <f>32.02*2.57*1.18</f>
        <v>97.10385199999999</v>
      </c>
    </row>
    <row r="70" spans="1:14" ht="30" thickBot="1">
      <c r="A70" s="272">
        <v>22</v>
      </c>
      <c r="B70" s="281" t="s">
        <v>399</v>
      </c>
      <c r="C70" s="367">
        <v>0.5</v>
      </c>
      <c r="D70" s="171">
        <v>0.5</v>
      </c>
      <c r="E70" s="283">
        <f>($O$8*1.09*1.5*1.15)/165.6*(C70+D70)</f>
        <v>42.91875</v>
      </c>
      <c r="F70" s="283">
        <f>($O$8*1.09*0.15*O10)/165.6*(C70+D70)</f>
        <v>4.291875</v>
      </c>
      <c r="G70" s="172">
        <f>(E70+F70)*$G$14</f>
        <v>16.14603375</v>
      </c>
      <c r="H70" s="173">
        <f>SUM(E70:G70)</f>
        <v>63.35665875</v>
      </c>
      <c r="I70" s="173">
        <f>H70*0.1</f>
        <v>6.335665875</v>
      </c>
      <c r="J70" s="264">
        <f>(E70+F70)*$J$14</f>
        <v>12.982921875</v>
      </c>
      <c r="K70" s="264">
        <f>(E70+F70)*$K$14</f>
        <v>36.824287500000004</v>
      </c>
      <c r="L70" s="173">
        <f>(H70+I70+J70+K70)*0.1</f>
        <v>11.949953400000002</v>
      </c>
      <c r="M70" s="165">
        <f>SUM(H70:L70)</f>
        <v>131.4494874</v>
      </c>
      <c r="N70" s="164">
        <f>M70+M70*$N$14</f>
        <v>155.110395132</v>
      </c>
    </row>
    <row r="71" spans="5:6" ht="15">
      <c r="E71" s="201"/>
      <c r="F71" s="201"/>
    </row>
    <row r="72" spans="1:14" ht="15">
      <c r="A72" s="409" t="s">
        <v>340</v>
      </c>
      <c r="B72" s="410"/>
      <c r="C72" s="410"/>
      <c r="D72" s="410"/>
      <c r="E72" s="410"/>
      <c r="F72" s="410"/>
      <c r="G72" s="410"/>
      <c r="H72" s="410"/>
      <c r="I72" s="410"/>
      <c r="J72" s="410"/>
      <c r="K72" s="410"/>
      <c r="L72" s="410"/>
      <c r="M72" s="410"/>
      <c r="N72" s="410"/>
    </row>
    <row r="73" spans="1:14" ht="15">
      <c r="A73" s="410"/>
      <c r="B73" s="410"/>
      <c r="C73" s="410"/>
      <c r="D73" s="410"/>
      <c r="E73" s="410"/>
      <c r="F73" s="410"/>
      <c r="G73" s="410"/>
      <c r="H73" s="410"/>
      <c r="I73" s="410"/>
      <c r="J73" s="410"/>
      <c r="K73" s="410"/>
      <c r="L73" s="410"/>
      <c r="M73" s="410"/>
      <c r="N73" s="410"/>
    </row>
    <row r="74" spans="1:13" ht="15">
      <c r="A74" s="174"/>
      <c r="B74" s="185" t="s">
        <v>9</v>
      </c>
      <c r="C74" s="368"/>
      <c r="D74" s="185"/>
      <c r="E74" s="204"/>
      <c r="F74" s="204"/>
      <c r="G74" s="185"/>
      <c r="H74" s="174"/>
      <c r="I74" s="174"/>
      <c r="J74" s="205"/>
      <c r="M74" s="140" t="s">
        <v>144</v>
      </c>
    </row>
    <row r="75" spans="1:10" ht="15">
      <c r="A75" s="174"/>
      <c r="B75" s="185"/>
      <c r="C75" s="368"/>
      <c r="D75" s="185"/>
      <c r="E75" s="204"/>
      <c r="F75" s="204"/>
      <c r="G75" s="185"/>
      <c r="H75" s="174"/>
      <c r="I75" s="174"/>
      <c r="J75" s="205"/>
    </row>
    <row r="76" spans="1:13" ht="15">
      <c r="A76" s="174"/>
      <c r="B76" s="185" t="s">
        <v>432</v>
      </c>
      <c r="C76" s="368"/>
      <c r="D76" s="185"/>
      <c r="E76" s="204"/>
      <c r="F76" s="204"/>
      <c r="G76" s="185"/>
      <c r="H76" s="174"/>
      <c r="I76" s="174"/>
      <c r="J76" s="205"/>
      <c r="M76" s="140" t="s">
        <v>433</v>
      </c>
    </row>
    <row r="77" spans="1:10" ht="15">
      <c r="A77" s="174"/>
      <c r="B77" s="185"/>
      <c r="C77" s="368"/>
      <c r="D77" s="185"/>
      <c r="E77" s="204"/>
      <c r="F77" s="204"/>
      <c r="G77" s="185"/>
      <c r="H77" s="174"/>
      <c r="I77" s="174"/>
      <c r="J77" s="205"/>
    </row>
    <row r="78" spans="1:10" ht="2.25" customHeight="1">
      <c r="A78" s="174"/>
      <c r="B78" s="174"/>
      <c r="C78" s="369"/>
      <c r="D78" s="174"/>
      <c r="E78" s="205"/>
      <c r="F78" s="205"/>
      <c r="G78" s="174"/>
      <c r="H78" s="174"/>
      <c r="I78" s="174"/>
      <c r="J78" s="205"/>
    </row>
    <row r="79" spans="2:10" ht="15">
      <c r="B79" s="174" t="s">
        <v>231</v>
      </c>
      <c r="C79" s="369"/>
      <c r="D79" s="174"/>
      <c r="E79" s="205"/>
      <c r="F79" s="205"/>
      <c r="G79" s="174"/>
      <c r="H79" s="174"/>
      <c r="I79" s="174"/>
      <c r="J79" s="205"/>
    </row>
    <row r="80" spans="2:13" ht="15">
      <c r="B80" s="140" t="s">
        <v>429</v>
      </c>
      <c r="D80" s="174"/>
      <c r="E80" s="201"/>
      <c r="F80" s="201"/>
      <c r="M80" s="140" t="s">
        <v>417</v>
      </c>
    </row>
    <row r="81" spans="1:10" ht="26.25" customHeight="1">
      <c r="A81" s="174" t="s">
        <v>290</v>
      </c>
      <c r="B81" s="174"/>
      <c r="C81" s="369"/>
      <c r="D81" s="174"/>
      <c r="E81" s="174"/>
      <c r="F81" s="174"/>
      <c r="G81" s="174"/>
      <c r="H81" s="174"/>
      <c r="I81" s="174"/>
      <c r="J81" s="205"/>
    </row>
  </sheetData>
  <sheetProtection/>
  <mergeCells count="18">
    <mergeCell ref="A72:N73"/>
    <mergeCell ref="A6:N6"/>
    <mergeCell ref="A7:N7"/>
    <mergeCell ref="A8:N8"/>
    <mergeCell ref="C64:G69"/>
    <mergeCell ref="A10:A14"/>
    <mergeCell ref="B10:B14"/>
    <mergeCell ref="C10:C14"/>
    <mergeCell ref="D10:D14"/>
    <mergeCell ref="E10:E14"/>
    <mergeCell ref="F10:F14"/>
    <mergeCell ref="G10:G13"/>
    <mergeCell ref="B1:M1"/>
    <mergeCell ref="B2:N2"/>
    <mergeCell ref="B4:N4"/>
    <mergeCell ref="H10:H14"/>
    <mergeCell ref="K10:K13"/>
    <mergeCell ref="L10:L13"/>
  </mergeCells>
  <printOptions/>
  <pageMargins left="1.32" right="0.75" top="0.22" bottom="0.26" header="0.5" footer="0.5"/>
  <pageSetup horizontalDpi="600" verticalDpi="600" orientation="portrait" paperSize="9" scale="64" r:id="rId3"/>
  <rowBreaks count="1" manualBreakCount="1">
    <brk id="81" max="255" man="1"/>
  </rowBreaks>
  <colBreaks count="1" manualBreakCount="1">
    <brk id="14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597"/>
  <sheetViews>
    <sheetView view="pageBreakPreview" zoomScale="75" zoomScaleNormal="90" zoomScaleSheetLayoutView="75" zoomScalePageLayoutView="0" workbookViewId="0" topLeftCell="A131">
      <selection activeCell="B185" sqref="B185"/>
    </sheetView>
  </sheetViews>
  <sheetFormatPr defaultColWidth="19.625" defaultRowHeight="12.75"/>
  <cols>
    <col min="1" max="1" width="3.75390625" style="14" customWidth="1"/>
    <col min="2" max="2" width="54.875" style="14" customWidth="1"/>
    <col min="3" max="3" width="8.75390625" style="85" hidden="1" customWidth="1"/>
    <col min="4" max="4" width="11.75390625" style="14" hidden="1" customWidth="1"/>
    <col min="5" max="5" width="9.25390625" style="14" hidden="1" customWidth="1"/>
    <col min="6" max="6" width="13.00390625" style="14" hidden="1" customWidth="1"/>
    <col min="7" max="7" width="11.125" style="14" hidden="1" customWidth="1"/>
    <col min="8" max="8" width="8.125" style="14" hidden="1" customWidth="1"/>
    <col min="9" max="9" width="9.25390625" style="14" hidden="1" customWidth="1"/>
    <col min="10" max="10" width="10.00390625" style="207" hidden="1" customWidth="1"/>
    <col min="11" max="11" width="10.25390625" style="207" hidden="1" customWidth="1"/>
    <col min="12" max="12" width="11.75390625" style="14" hidden="1" customWidth="1"/>
    <col min="13" max="13" width="14.25390625" style="14" customWidth="1"/>
    <col min="14" max="14" width="15.00390625" style="14" customWidth="1"/>
    <col min="15" max="16384" width="19.625" style="14" customWidth="1"/>
  </cols>
  <sheetData>
    <row r="1" spans="2:12" ht="14.25">
      <c r="B1" s="285" t="s">
        <v>369</v>
      </c>
      <c r="J1" s="85"/>
      <c r="K1" s="85"/>
      <c r="L1" s="85"/>
    </row>
    <row r="2" spans="1:12" ht="14.25">
      <c r="A2" s="284"/>
      <c r="B2" s="38" t="s">
        <v>370</v>
      </c>
      <c r="D2" s="284"/>
      <c r="E2" s="284"/>
      <c r="F2" s="284"/>
      <c r="G2" s="284"/>
      <c r="H2" s="33"/>
      <c r="I2" s="33"/>
      <c r="J2" s="231"/>
      <c r="K2" s="231"/>
      <c r="L2" s="231"/>
    </row>
    <row r="3" spans="1:20" ht="14.25">
      <c r="A3" s="34"/>
      <c r="B3" s="428" t="s">
        <v>486</v>
      </c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T3" s="35">
        <f>SUM(47.8*2.16*1.15*2/25.25/166.25)</f>
        <v>0.056570034988461255</v>
      </c>
    </row>
    <row r="4" spans="10:20" ht="14.25">
      <c r="J4" s="231"/>
      <c r="K4" s="231"/>
      <c r="L4" s="231"/>
      <c r="T4" s="24"/>
    </row>
    <row r="5" spans="1:20" ht="14.25">
      <c r="A5" s="284"/>
      <c r="B5" s="428" t="s">
        <v>371</v>
      </c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T5" s="24">
        <f>SUM(T2:T2)*0.385</f>
        <v>0</v>
      </c>
    </row>
    <row r="6" spans="10:12" ht="14.25">
      <c r="J6" s="2"/>
      <c r="K6" s="2"/>
      <c r="L6" s="231"/>
    </row>
    <row r="7" spans="1:20" ht="14.25" customHeight="1">
      <c r="A7" s="431" t="s">
        <v>197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T7" s="36">
        <f>SUM(T2:T5)</f>
        <v>0.056570034988461255</v>
      </c>
    </row>
    <row r="8" spans="1:14" ht="15">
      <c r="A8" s="432" t="s">
        <v>284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</row>
    <row r="9" spans="1:15" ht="15">
      <c r="A9" s="432" t="s">
        <v>485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362">
        <v>3780</v>
      </c>
    </row>
    <row r="10" ht="15" thickBot="1">
      <c r="O10" s="362">
        <v>165.6</v>
      </c>
    </row>
    <row r="11" spans="1:26" ht="14.25">
      <c r="A11" s="433" t="s">
        <v>16</v>
      </c>
      <c r="B11" s="436" t="s">
        <v>178</v>
      </c>
      <c r="C11" s="232" t="s">
        <v>151</v>
      </c>
      <c r="D11" s="3" t="s">
        <v>29</v>
      </c>
      <c r="E11" s="3" t="s">
        <v>268</v>
      </c>
      <c r="F11" s="3" t="s">
        <v>412</v>
      </c>
      <c r="G11" s="3" t="s">
        <v>153</v>
      </c>
      <c r="H11" s="37" t="s">
        <v>196</v>
      </c>
      <c r="I11" s="3" t="s">
        <v>280</v>
      </c>
      <c r="J11" s="208" t="s">
        <v>224</v>
      </c>
      <c r="K11" s="209" t="s">
        <v>26</v>
      </c>
      <c r="L11" s="5" t="s">
        <v>27</v>
      </c>
      <c r="M11" s="73" t="s">
        <v>196</v>
      </c>
      <c r="N11" s="5" t="s">
        <v>196</v>
      </c>
      <c r="Y11" s="38"/>
      <c r="Z11" s="38"/>
    </row>
    <row r="12" spans="1:26" ht="14.25">
      <c r="A12" s="434"/>
      <c r="B12" s="437"/>
      <c r="C12" s="233" t="s">
        <v>152</v>
      </c>
      <c r="D12" s="7" t="s">
        <v>267</v>
      </c>
      <c r="E12" s="7" t="s">
        <v>269</v>
      </c>
      <c r="F12" s="7" t="s">
        <v>413</v>
      </c>
      <c r="G12" s="7" t="s">
        <v>154</v>
      </c>
      <c r="H12" s="39" t="s">
        <v>270</v>
      </c>
      <c r="I12" s="7" t="s">
        <v>281</v>
      </c>
      <c r="J12" s="210" t="s">
        <v>156</v>
      </c>
      <c r="K12" s="211" t="s">
        <v>156</v>
      </c>
      <c r="L12" s="13" t="s">
        <v>225</v>
      </c>
      <c r="M12" s="75" t="s">
        <v>24</v>
      </c>
      <c r="N12" s="9" t="s">
        <v>24</v>
      </c>
      <c r="Y12" s="38"/>
      <c r="Z12" s="34"/>
    </row>
    <row r="13" spans="1:26" ht="14.25">
      <c r="A13" s="434"/>
      <c r="B13" s="437"/>
      <c r="C13" s="292" t="s">
        <v>179</v>
      </c>
      <c r="D13" s="7" t="s">
        <v>176</v>
      </c>
      <c r="E13" s="7" t="s">
        <v>176</v>
      </c>
      <c r="F13" s="7" t="s">
        <v>176</v>
      </c>
      <c r="G13" s="7"/>
      <c r="H13" s="39" t="s">
        <v>176</v>
      </c>
      <c r="I13" s="7" t="s">
        <v>282</v>
      </c>
      <c r="J13" s="210" t="s">
        <v>155</v>
      </c>
      <c r="K13" s="211" t="s">
        <v>155</v>
      </c>
      <c r="L13" s="40" t="s">
        <v>176</v>
      </c>
      <c r="M13" s="75" t="s">
        <v>283</v>
      </c>
      <c r="N13" s="9" t="s">
        <v>25</v>
      </c>
      <c r="Y13" s="38"/>
      <c r="Z13" s="34"/>
    </row>
    <row r="14" spans="1:26" ht="14.25">
      <c r="A14" s="434"/>
      <c r="B14" s="437"/>
      <c r="C14" s="292"/>
      <c r="D14" s="41"/>
      <c r="E14" s="41"/>
      <c r="F14" s="41"/>
      <c r="G14" s="42">
        <v>0.342</v>
      </c>
      <c r="H14" s="42"/>
      <c r="I14" s="42" t="s">
        <v>270</v>
      </c>
      <c r="J14" s="212"/>
      <c r="K14" s="213"/>
      <c r="L14" s="43"/>
      <c r="M14" s="75" t="s">
        <v>176</v>
      </c>
      <c r="N14" s="9" t="s">
        <v>253</v>
      </c>
      <c r="O14" s="44"/>
      <c r="P14" s="44"/>
      <c r="Q14" s="44"/>
      <c r="R14" s="44"/>
      <c r="S14" s="44"/>
      <c r="T14" s="44"/>
      <c r="U14" s="16"/>
      <c r="V14" s="44"/>
      <c r="X14" s="45"/>
      <c r="Y14" s="46"/>
      <c r="Z14" s="34"/>
    </row>
    <row r="15" spans="1:26" ht="15" thickBot="1">
      <c r="A15" s="435"/>
      <c r="B15" s="438"/>
      <c r="C15" s="235"/>
      <c r="D15" s="19"/>
      <c r="E15" s="19"/>
      <c r="F15" s="19"/>
      <c r="G15" s="19"/>
      <c r="H15" s="19"/>
      <c r="I15" s="82" t="s">
        <v>176</v>
      </c>
      <c r="J15" s="214">
        <v>0.232</v>
      </c>
      <c r="K15" s="215">
        <v>0.78</v>
      </c>
      <c r="L15" s="187">
        <v>0.2</v>
      </c>
      <c r="M15" s="21"/>
      <c r="N15" s="187">
        <v>0.18</v>
      </c>
      <c r="Y15" s="38"/>
      <c r="Z15" s="34"/>
    </row>
    <row r="16" spans="1:14" ht="14.25">
      <c r="A16" s="52"/>
      <c r="B16" s="76"/>
      <c r="C16" s="90"/>
      <c r="D16" s="52"/>
      <c r="E16" s="52"/>
      <c r="F16" s="52"/>
      <c r="G16" s="52"/>
      <c r="H16" s="47"/>
      <c r="I16" s="47"/>
      <c r="J16" s="216"/>
      <c r="K16" s="216"/>
      <c r="L16" s="47"/>
      <c r="M16" s="47"/>
      <c r="N16" s="52"/>
    </row>
    <row r="17" spans="1:14" ht="14.25">
      <c r="A17" s="95" t="s">
        <v>180</v>
      </c>
      <c r="B17" s="49" t="s">
        <v>182</v>
      </c>
      <c r="C17" s="86"/>
      <c r="D17" s="48"/>
      <c r="E17" s="48"/>
      <c r="F17" s="48"/>
      <c r="G17" s="48"/>
      <c r="H17" s="50"/>
      <c r="I17" s="50"/>
      <c r="J17" s="217"/>
      <c r="K17" s="217"/>
      <c r="L17" s="50"/>
      <c r="M17" s="50"/>
      <c r="N17" s="48"/>
    </row>
    <row r="18" spans="1:14" ht="14.25">
      <c r="A18" s="48"/>
      <c r="B18" s="51"/>
      <c r="C18" s="86"/>
      <c r="D18" s="48"/>
      <c r="E18" s="48"/>
      <c r="F18" s="48"/>
      <c r="G18" s="48"/>
      <c r="H18" s="50"/>
      <c r="I18" s="50"/>
      <c r="J18" s="217"/>
      <c r="K18" s="217"/>
      <c r="L18" s="50"/>
      <c r="M18" s="50"/>
      <c r="N18" s="48"/>
    </row>
    <row r="19" spans="1:14" s="85" customFormat="1" ht="14.25">
      <c r="A19" s="90">
        <v>1</v>
      </c>
      <c r="B19" s="91" t="s">
        <v>157</v>
      </c>
      <c r="C19" s="86"/>
      <c r="D19" s="86"/>
      <c r="E19" s="86"/>
      <c r="F19" s="86"/>
      <c r="G19" s="86"/>
      <c r="H19" s="92"/>
      <c r="I19" s="92"/>
      <c r="J19" s="217"/>
      <c r="K19" s="217"/>
      <c r="L19" s="92"/>
      <c r="M19" s="92"/>
      <c r="N19" s="86"/>
    </row>
    <row r="20" spans="1:14" ht="14.25">
      <c r="A20" s="48"/>
      <c r="B20" s="53" t="s">
        <v>150</v>
      </c>
      <c r="C20" s="86"/>
      <c r="D20" s="48"/>
      <c r="E20" s="48"/>
      <c r="F20" s="48"/>
      <c r="G20" s="48"/>
      <c r="H20" s="50"/>
      <c r="I20" s="50"/>
      <c r="J20" s="217"/>
      <c r="K20" s="217"/>
      <c r="L20" s="50"/>
      <c r="M20" s="50"/>
      <c r="N20" s="48"/>
    </row>
    <row r="21" spans="1:14" ht="14.25">
      <c r="A21" s="48"/>
      <c r="B21" s="51" t="s">
        <v>331</v>
      </c>
      <c r="C21" s="86"/>
      <c r="D21" s="58">
        <f>($O$9*1.1056*1.5*1.15)/165.6</f>
        <v>43.532999999999994</v>
      </c>
      <c r="E21" s="58">
        <f>($O$9*1.1056*0.15*1.15)/165.6</f>
        <v>4.353299999999999</v>
      </c>
      <c r="F21" s="58">
        <f>($O$9*1.1056*0.08*1.15)/165.6</f>
        <v>2.32176</v>
      </c>
      <c r="G21" s="48"/>
      <c r="H21" s="50"/>
      <c r="I21" s="50"/>
      <c r="J21" s="217"/>
      <c r="K21" s="217"/>
      <c r="L21" s="50"/>
      <c r="M21" s="50"/>
      <c r="N21" s="48"/>
    </row>
    <row r="22" spans="1:14" ht="14.25">
      <c r="A22" s="48"/>
      <c r="B22" s="51" t="s">
        <v>177</v>
      </c>
      <c r="C22" s="86"/>
      <c r="D22" s="48"/>
      <c r="E22" s="48"/>
      <c r="F22" s="48"/>
      <c r="G22" s="48"/>
      <c r="H22" s="50"/>
      <c r="I22" s="50"/>
      <c r="J22" s="217"/>
      <c r="K22" s="217"/>
      <c r="L22" s="50"/>
      <c r="M22" s="50"/>
      <c r="N22" s="48"/>
    </row>
    <row r="23" spans="1:14" ht="14.25">
      <c r="A23" s="48"/>
      <c r="B23" s="54" t="s">
        <v>67</v>
      </c>
      <c r="C23" s="86">
        <v>1.072</v>
      </c>
      <c r="D23" s="58">
        <f>$D$21*C23</f>
        <v>46.667376</v>
      </c>
      <c r="E23" s="58">
        <f>$E$21*C23</f>
        <v>4.666737599999999</v>
      </c>
      <c r="F23" s="58">
        <f>$F$21*C23</f>
        <v>2.48892672</v>
      </c>
      <c r="G23" s="58">
        <f>(D23+E23+F23)*$G$14</f>
        <v>18.40747978944</v>
      </c>
      <c r="H23" s="57">
        <f>SUM(D23:G23)</f>
        <v>72.23052010944</v>
      </c>
      <c r="I23" s="57">
        <f>H23*0.1</f>
        <v>7.2230520109439995</v>
      </c>
      <c r="J23" s="218">
        <f>(D23+E23+F23)*$J$15</f>
        <v>12.48694535424</v>
      </c>
      <c r="K23" s="218">
        <f>(D23+E23+F23)*$K$15</f>
        <v>41.981971449599996</v>
      </c>
      <c r="L23" s="57">
        <f>(H23+I23+J23+K23)*$L$15</f>
        <v>26.7844977848448</v>
      </c>
      <c r="M23" s="57">
        <f>SUM(H23:L23)</f>
        <v>160.7069867090688</v>
      </c>
      <c r="N23" s="58">
        <f>M23+M23*$N$15</f>
        <v>189.63424431670117</v>
      </c>
    </row>
    <row r="24" spans="1:14" ht="14.25">
      <c r="A24" s="48"/>
      <c r="B24" s="59">
        <v>32</v>
      </c>
      <c r="C24" s="86">
        <v>1.094</v>
      </c>
      <c r="D24" s="58">
        <f>$D$21*C24</f>
        <v>47.625102</v>
      </c>
      <c r="E24" s="58">
        <f>$E$21*C24</f>
        <v>4.7625101999999995</v>
      </c>
      <c r="F24" s="58">
        <f>$F$21*C24</f>
        <v>2.54000544</v>
      </c>
      <c r="G24" s="58">
        <f>(D24+E24+F24)*$G$14</f>
        <v>18.78524523288</v>
      </c>
      <c r="H24" s="57">
        <f>SUM(D24:G24)</f>
        <v>73.71286287288001</v>
      </c>
      <c r="I24" s="57">
        <f>H24*0.1</f>
        <v>7.371286287288001</v>
      </c>
      <c r="J24" s="218">
        <f>(D24+E24+F24)*$J$15</f>
        <v>12.743207292480001</v>
      </c>
      <c r="K24" s="218">
        <f>(D24+E24+F24)*$K$15</f>
        <v>42.8435417592</v>
      </c>
      <c r="L24" s="57">
        <f>(H24+I24+J24+K24)*$L$15</f>
        <v>27.334179642369605</v>
      </c>
      <c r="M24" s="57">
        <f>SUM(H24:L24)</f>
        <v>164.00507785421763</v>
      </c>
      <c r="N24" s="58">
        <f>M24+M24*$N$15</f>
        <v>193.5259918679768</v>
      </c>
    </row>
    <row r="25" spans="1:14" ht="14.25">
      <c r="A25" s="48"/>
      <c r="B25" s="59">
        <v>50</v>
      </c>
      <c r="C25" s="86">
        <v>1.332</v>
      </c>
      <c r="D25" s="58">
        <f>$D$21*C25</f>
        <v>57.985955999999995</v>
      </c>
      <c r="E25" s="58">
        <f>$E$21*C25</f>
        <v>5.798595599999999</v>
      </c>
      <c r="F25" s="58">
        <f>$F$21*C25</f>
        <v>3.09258432</v>
      </c>
      <c r="G25" s="58">
        <f>(D25+E25+F25)*$G$14</f>
        <v>22.871980484639998</v>
      </c>
      <c r="H25" s="57">
        <f>SUM(D25:G25)</f>
        <v>89.74911640463998</v>
      </c>
      <c r="I25" s="57">
        <f>H25*0.1</f>
        <v>8.974911640463999</v>
      </c>
      <c r="J25" s="218">
        <f>(D25+E25+F25)*$J$15</f>
        <v>15.515495533439998</v>
      </c>
      <c r="K25" s="218">
        <f>(D25+E25+F25)*$K$15</f>
        <v>52.16416601759999</v>
      </c>
      <c r="L25" s="57">
        <f>(H25+I25+J25+K25)*$L$15</f>
        <v>33.2807379192288</v>
      </c>
      <c r="M25" s="57">
        <f>SUM(H25:L25)</f>
        <v>199.68442751537276</v>
      </c>
      <c r="N25" s="58">
        <f>M25+M25*$N$15</f>
        <v>235.62762446813986</v>
      </c>
    </row>
    <row r="26" spans="1:14" ht="14.25">
      <c r="A26" s="48"/>
      <c r="B26" s="59"/>
      <c r="C26" s="86"/>
      <c r="D26" s="58"/>
      <c r="E26" s="58"/>
      <c r="F26" s="58"/>
      <c r="G26" s="58"/>
      <c r="H26" s="57"/>
      <c r="I26" s="57"/>
      <c r="J26" s="218"/>
      <c r="K26" s="218"/>
      <c r="L26" s="57"/>
      <c r="M26" s="57"/>
      <c r="N26" s="58"/>
    </row>
    <row r="27" spans="1:14" s="85" customFormat="1" ht="14.25">
      <c r="A27" s="86">
        <v>2</v>
      </c>
      <c r="B27" s="91" t="s">
        <v>157</v>
      </c>
      <c r="C27" s="86"/>
      <c r="D27" s="86"/>
      <c r="E27" s="86"/>
      <c r="F27" s="86"/>
      <c r="G27" s="88"/>
      <c r="H27" s="89"/>
      <c r="I27" s="89"/>
      <c r="J27" s="218"/>
      <c r="K27" s="217"/>
      <c r="L27" s="92"/>
      <c r="M27" s="92"/>
      <c r="N27" s="86"/>
    </row>
    <row r="28" spans="1:14" ht="14.25">
      <c r="A28" s="48"/>
      <c r="B28" s="53" t="s">
        <v>188</v>
      </c>
      <c r="C28" s="86"/>
      <c r="D28" s="48"/>
      <c r="E28" s="48"/>
      <c r="F28" s="48"/>
      <c r="G28" s="58"/>
      <c r="H28" s="57"/>
      <c r="I28" s="57"/>
      <c r="J28" s="218"/>
      <c r="K28" s="217"/>
      <c r="L28" s="50"/>
      <c r="M28" s="50"/>
      <c r="N28" s="48"/>
    </row>
    <row r="29" spans="1:14" ht="14.25">
      <c r="A29" s="48"/>
      <c r="B29" s="51" t="s">
        <v>5</v>
      </c>
      <c r="C29" s="86"/>
      <c r="D29" s="88">
        <f>($O$9*1.142*1.5*1.15)/165.6</f>
        <v>44.966249999999995</v>
      </c>
      <c r="E29" s="88">
        <f>($O$9*1.142*0.15*1.15)/165.6</f>
        <v>4.496624999999999</v>
      </c>
      <c r="F29" s="58">
        <f>($O$9*1.142*0.3*1.15)/165.6</f>
        <v>8.993249999999998</v>
      </c>
      <c r="G29" s="58"/>
      <c r="H29" s="57"/>
      <c r="I29" s="57"/>
      <c r="J29" s="218"/>
      <c r="K29" s="217"/>
      <c r="L29" s="50"/>
      <c r="M29" s="50"/>
      <c r="N29" s="48"/>
    </row>
    <row r="30" spans="1:14" ht="14.25">
      <c r="A30" s="48"/>
      <c r="B30" s="51" t="s">
        <v>4</v>
      </c>
      <c r="C30" s="86"/>
      <c r="D30" s="88">
        <f>($O$9*1.04*1.5*1.15)/165.6</f>
        <v>40.95</v>
      </c>
      <c r="E30" s="88">
        <f>($O$9*1.04*0.15*1.15)/165.6</f>
        <v>4.095000000000001</v>
      </c>
      <c r="F30" s="88">
        <f>($O$9*1.04*0.08*1.15)/165.6</f>
        <v>2.184</v>
      </c>
      <c r="G30" s="58"/>
      <c r="H30" s="57"/>
      <c r="I30" s="57"/>
      <c r="J30" s="218"/>
      <c r="K30" s="217"/>
      <c r="L30" s="50"/>
      <c r="M30" s="50"/>
      <c r="N30" s="48"/>
    </row>
    <row r="31" spans="1:14" ht="14.25">
      <c r="A31" s="48"/>
      <c r="B31" s="51" t="s">
        <v>158</v>
      </c>
      <c r="C31" s="86"/>
      <c r="D31" s="86"/>
      <c r="E31" s="86"/>
      <c r="F31" s="48"/>
      <c r="G31" s="58"/>
      <c r="H31" s="57"/>
      <c r="I31" s="57"/>
      <c r="J31" s="218"/>
      <c r="K31" s="217"/>
      <c r="L31" s="50"/>
      <c r="M31" s="50"/>
      <c r="N31" s="48"/>
    </row>
    <row r="32" spans="1:14" ht="14.25">
      <c r="A32" s="48"/>
      <c r="B32" s="59" t="s">
        <v>189</v>
      </c>
      <c r="C32" s="86">
        <v>0.778</v>
      </c>
      <c r="D32" s="88">
        <f aca="true" t="shared" si="0" ref="D32:D40">($D$29+$D$30)*C32</f>
        <v>66.84284249999999</v>
      </c>
      <c r="E32" s="88">
        <f>($E$29+$E$30)*C32</f>
        <v>6.684284250000001</v>
      </c>
      <c r="F32" s="58">
        <f>($F$29+$F$30)*C32</f>
        <v>8.695900499999999</v>
      </c>
      <c r="G32" s="58">
        <f aca="true" t="shared" si="1" ref="G32:G40">(D32+E32+F32)*$G$14</f>
        <v>28.1202753195</v>
      </c>
      <c r="H32" s="57">
        <f>SUM(D32:G32)</f>
        <v>110.34330256949998</v>
      </c>
      <c r="I32" s="57">
        <f aca="true" t="shared" si="2" ref="I32:I38">H32*0.1</f>
        <v>11.03433025695</v>
      </c>
      <c r="J32" s="218">
        <f aca="true" t="shared" si="3" ref="J32:J40">(D32+E32+F32)*$J$15</f>
        <v>19.075742321999996</v>
      </c>
      <c r="K32" s="218">
        <f aca="true" t="shared" si="4" ref="K32:K40">(D32+E32+F32)*$K$15</f>
        <v>64.13396125499999</v>
      </c>
      <c r="L32" s="57">
        <f>(H32+I32+J32+K32)*$L$15</f>
        <v>40.91746728069</v>
      </c>
      <c r="M32" s="57">
        <f aca="true" t="shared" si="5" ref="M32:M38">SUM(H32:L32)</f>
        <v>245.50480368413997</v>
      </c>
      <c r="N32" s="58">
        <f aca="true" t="shared" si="6" ref="N32:N40">M32+M32*$N$15</f>
        <v>289.69566834728516</v>
      </c>
    </row>
    <row r="33" spans="1:14" ht="14.25">
      <c r="A33" s="48"/>
      <c r="B33" s="59">
        <v>20</v>
      </c>
      <c r="C33" s="86">
        <v>0.859</v>
      </c>
      <c r="D33" s="88">
        <f t="shared" si="0"/>
        <v>73.80205874999999</v>
      </c>
      <c r="E33" s="88">
        <f aca="true" t="shared" si="7" ref="E33:E38">($E$29+$E$30)*C33</f>
        <v>7.380205875000001</v>
      </c>
      <c r="F33" s="58">
        <f aca="true" t="shared" si="8" ref="F33:F39">($F$29+$F$30)*C33</f>
        <v>9.601257749999997</v>
      </c>
      <c r="G33" s="58">
        <f t="shared" si="1"/>
        <v>31.04796465225</v>
      </c>
      <c r="H33" s="57">
        <f aca="true" t="shared" si="9" ref="H33:H40">SUM(D33:G33)</f>
        <v>121.83148702724999</v>
      </c>
      <c r="I33" s="57">
        <f t="shared" si="2"/>
        <v>12.183148702725</v>
      </c>
      <c r="J33" s="218">
        <f t="shared" si="3"/>
        <v>21.061777190999997</v>
      </c>
      <c r="K33" s="218">
        <f t="shared" si="4"/>
        <v>70.8111474525</v>
      </c>
      <c r="L33" s="57">
        <f aca="true" t="shared" si="10" ref="L33:L40">(H33+I33+J33+K33)*$L$15</f>
        <v>45.177512074695</v>
      </c>
      <c r="M33" s="57">
        <f t="shared" si="5"/>
        <v>271.06507244817</v>
      </c>
      <c r="N33" s="58">
        <f t="shared" si="6"/>
        <v>319.85678548884056</v>
      </c>
    </row>
    <row r="34" spans="1:14" ht="14.25">
      <c r="A34" s="48"/>
      <c r="B34" s="59">
        <v>25</v>
      </c>
      <c r="C34" s="86">
        <v>0.948</v>
      </c>
      <c r="D34" s="88">
        <f t="shared" si="0"/>
        <v>81.44860499999999</v>
      </c>
      <c r="E34" s="88">
        <f t="shared" si="7"/>
        <v>8.1448605</v>
      </c>
      <c r="F34" s="58">
        <f t="shared" si="8"/>
        <v>10.596032999999997</v>
      </c>
      <c r="G34" s="58">
        <f t="shared" si="1"/>
        <v>34.26480848699999</v>
      </c>
      <c r="H34" s="57">
        <f t="shared" si="9"/>
        <v>134.45430698699997</v>
      </c>
      <c r="I34" s="57">
        <f t="shared" si="2"/>
        <v>13.445430698699997</v>
      </c>
      <c r="J34" s="218">
        <f t="shared" si="3"/>
        <v>23.243963651999994</v>
      </c>
      <c r="K34" s="218">
        <f t="shared" si="4"/>
        <v>78.14780882999997</v>
      </c>
      <c r="L34" s="57">
        <f t="shared" si="10"/>
        <v>49.858302033539985</v>
      </c>
      <c r="M34" s="57">
        <f t="shared" si="5"/>
        <v>299.1498122012399</v>
      </c>
      <c r="N34" s="58">
        <f t="shared" si="6"/>
        <v>352.9967783974631</v>
      </c>
    </row>
    <row r="35" spans="1:14" ht="14.25">
      <c r="A35" s="48"/>
      <c r="B35" s="59">
        <v>32</v>
      </c>
      <c r="C35" s="86">
        <v>1.15</v>
      </c>
      <c r="D35" s="88">
        <f t="shared" si="0"/>
        <v>98.80368749999998</v>
      </c>
      <c r="E35" s="88">
        <f t="shared" si="7"/>
        <v>9.88036875</v>
      </c>
      <c r="F35" s="58">
        <f t="shared" si="8"/>
        <v>12.853837499999996</v>
      </c>
      <c r="G35" s="58">
        <f t="shared" si="1"/>
        <v>41.5659596625</v>
      </c>
      <c r="H35" s="57">
        <f t="shared" si="9"/>
        <v>163.10385341249997</v>
      </c>
      <c r="I35" s="57">
        <f t="shared" si="2"/>
        <v>16.310385341249997</v>
      </c>
      <c r="J35" s="218">
        <f t="shared" si="3"/>
        <v>28.196791349999998</v>
      </c>
      <c r="K35" s="218">
        <f t="shared" si="4"/>
        <v>94.79955712499999</v>
      </c>
      <c r="L35" s="57">
        <f t="shared" si="10"/>
        <v>60.48211744574999</v>
      </c>
      <c r="M35" s="57">
        <f t="shared" si="5"/>
        <v>362.8927046744999</v>
      </c>
      <c r="N35" s="58">
        <f t="shared" si="6"/>
        <v>428.21339151590985</v>
      </c>
    </row>
    <row r="36" spans="1:14" ht="14.25">
      <c r="A36" s="48"/>
      <c r="B36" s="59">
        <v>40</v>
      </c>
      <c r="C36" s="86">
        <v>1.214</v>
      </c>
      <c r="D36" s="88">
        <f t="shared" si="0"/>
        <v>104.30232749999999</v>
      </c>
      <c r="E36" s="88">
        <f t="shared" si="7"/>
        <v>10.43023275</v>
      </c>
      <c r="F36" s="58">
        <f t="shared" si="8"/>
        <v>13.569181499999996</v>
      </c>
      <c r="G36" s="58">
        <f t="shared" si="1"/>
        <v>43.8791956785</v>
      </c>
      <c r="H36" s="57">
        <f t="shared" si="9"/>
        <v>172.1809374285</v>
      </c>
      <c r="I36" s="57">
        <f t="shared" si="2"/>
        <v>17.218093742849998</v>
      </c>
      <c r="J36" s="218">
        <f t="shared" si="3"/>
        <v>29.766004086</v>
      </c>
      <c r="K36" s="218">
        <f t="shared" si="4"/>
        <v>100.075358565</v>
      </c>
      <c r="L36" s="57">
        <f t="shared" si="10"/>
        <v>63.848078764469996</v>
      </c>
      <c r="M36" s="57">
        <f t="shared" si="5"/>
        <v>383.08847258682</v>
      </c>
      <c r="N36" s="58">
        <f t="shared" si="6"/>
        <v>452.04439765244757</v>
      </c>
    </row>
    <row r="37" spans="1:14" ht="14.25">
      <c r="A37" s="48"/>
      <c r="B37" s="59">
        <v>50</v>
      </c>
      <c r="C37" s="86">
        <v>1.349</v>
      </c>
      <c r="D37" s="88">
        <f t="shared" si="0"/>
        <v>115.90102124999999</v>
      </c>
      <c r="E37" s="88">
        <f t="shared" si="7"/>
        <v>11.590102125000001</v>
      </c>
      <c r="F37" s="58">
        <f t="shared" si="8"/>
        <v>15.078110249999996</v>
      </c>
      <c r="G37" s="58">
        <f t="shared" si="1"/>
        <v>48.75867789975</v>
      </c>
      <c r="H37" s="57">
        <f t="shared" si="9"/>
        <v>191.32791152475</v>
      </c>
      <c r="I37" s="57">
        <f t="shared" si="2"/>
        <v>19.132791152475</v>
      </c>
      <c r="J37" s="218">
        <f t="shared" si="3"/>
        <v>33.076062201</v>
      </c>
      <c r="K37" s="218">
        <f t="shared" si="4"/>
        <v>111.20400222749998</v>
      </c>
      <c r="L37" s="57">
        <f t="shared" si="10"/>
        <v>70.948153421145</v>
      </c>
      <c r="M37" s="57">
        <f t="shared" si="5"/>
        <v>425.68892052686994</v>
      </c>
      <c r="N37" s="58">
        <f t="shared" si="6"/>
        <v>502.3129262217065</v>
      </c>
    </row>
    <row r="38" spans="1:14" ht="14.25">
      <c r="A38" s="48"/>
      <c r="B38" s="59">
        <v>65</v>
      </c>
      <c r="C38" s="86">
        <v>1.585</v>
      </c>
      <c r="D38" s="88">
        <f t="shared" si="0"/>
        <v>136.17725624999997</v>
      </c>
      <c r="E38" s="88">
        <f t="shared" si="7"/>
        <v>13.617725625</v>
      </c>
      <c r="F38" s="58">
        <f t="shared" si="8"/>
        <v>17.715941249999997</v>
      </c>
      <c r="G38" s="58">
        <f t="shared" si="1"/>
        <v>57.28873570874999</v>
      </c>
      <c r="H38" s="57">
        <f t="shared" si="9"/>
        <v>224.79965883374993</v>
      </c>
      <c r="I38" s="57">
        <f t="shared" si="2"/>
        <v>22.479965883374994</v>
      </c>
      <c r="J38" s="218">
        <f t="shared" si="3"/>
        <v>38.86253416499999</v>
      </c>
      <c r="K38" s="218">
        <f t="shared" si="4"/>
        <v>130.65852003749995</v>
      </c>
      <c r="L38" s="57">
        <f t="shared" si="10"/>
        <v>83.36013578392499</v>
      </c>
      <c r="M38" s="57">
        <f t="shared" si="5"/>
        <v>500.1608147035499</v>
      </c>
      <c r="N38" s="58">
        <f t="shared" si="6"/>
        <v>590.1897613501889</v>
      </c>
    </row>
    <row r="39" spans="1:14" ht="14.25">
      <c r="A39" s="48"/>
      <c r="B39" s="59">
        <v>80</v>
      </c>
      <c r="C39" s="86">
        <v>1.748</v>
      </c>
      <c r="D39" s="88">
        <f t="shared" si="0"/>
        <v>150.181605</v>
      </c>
      <c r="E39" s="88">
        <f>($E$29+$E$30)*C39</f>
        <v>15.0181605</v>
      </c>
      <c r="F39" s="58">
        <f t="shared" si="8"/>
        <v>19.537832999999996</v>
      </c>
      <c r="G39" s="58">
        <f t="shared" si="1"/>
        <v>63.180258687</v>
      </c>
      <c r="H39" s="57">
        <f t="shared" si="9"/>
        <v>247.91785718699998</v>
      </c>
      <c r="I39" s="57">
        <f>H39*0.1</f>
        <v>24.791785718699998</v>
      </c>
      <c r="J39" s="218">
        <f t="shared" si="3"/>
        <v>42.859122852</v>
      </c>
      <c r="K39" s="218">
        <f t="shared" si="4"/>
        <v>144.09532683</v>
      </c>
      <c r="L39" s="57">
        <f t="shared" si="10"/>
        <v>91.93281851754</v>
      </c>
      <c r="M39" s="57">
        <f>SUM(H39:L39)</f>
        <v>551.59691110524</v>
      </c>
      <c r="N39" s="58">
        <f t="shared" si="6"/>
        <v>650.8843551041832</v>
      </c>
    </row>
    <row r="40" spans="1:14" ht="14.25">
      <c r="A40" s="48"/>
      <c r="B40" s="59">
        <v>100</v>
      </c>
      <c r="C40" s="86">
        <v>2.204</v>
      </c>
      <c r="D40" s="88">
        <f t="shared" si="0"/>
        <v>189.35941499999998</v>
      </c>
      <c r="E40" s="88">
        <f>($E$29+$E$30)*C40</f>
        <v>18.935941500000002</v>
      </c>
      <c r="F40" s="58">
        <f>($F$29+$F$30)*C40</f>
        <v>24.634658999999996</v>
      </c>
      <c r="G40" s="58">
        <f t="shared" si="1"/>
        <v>79.662065301</v>
      </c>
      <c r="H40" s="57">
        <f t="shared" si="9"/>
        <v>312.592080801</v>
      </c>
      <c r="I40" s="57">
        <f>H40*0.1</f>
        <v>31.259208080100002</v>
      </c>
      <c r="J40" s="218">
        <f t="shared" si="3"/>
        <v>54.039763596</v>
      </c>
      <c r="K40" s="218">
        <f t="shared" si="4"/>
        <v>181.68541209</v>
      </c>
      <c r="L40" s="57">
        <f t="shared" si="10"/>
        <v>115.91529291341999</v>
      </c>
      <c r="M40" s="57">
        <f>SUM(H40:L40)</f>
        <v>695.4917574805199</v>
      </c>
      <c r="N40" s="58">
        <f t="shared" si="6"/>
        <v>820.6802738270135</v>
      </c>
    </row>
    <row r="41" spans="1:14" ht="14.25">
      <c r="A41" s="48"/>
      <c r="B41" s="59"/>
      <c r="C41" s="86"/>
      <c r="D41" s="88"/>
      <c r="E41" s="88"/>
      <c r="F41" s="58"/>
      <c r="G41" s="58"/>
      <c r="H41" s="57"/>
      <c r="I41" s="57"/>
      <c r="J41" s="218"/>
      <c r="K41" s="218"/>
      <c r="L41" s="57"/>
      <c r="M41" s="57"/>
      <c r="N41" s="58"/>
    </row>
    <row r="42" spans="1:14" s="85" customFormat="1" ht="14.25">
      <c r="A42" s="86">
        <v>3</v>
      </c>
      <c r="B42" s="91" t="s">
        <v>157</v>
      </c>
      <c r="C42" s="86"/>
      <c r="D42" s="86"/>
      <c r="E42" s="86"/>
      <c r="F42" s="86"/>
      <c r="G42" s="88"/>
      <c r="H42" s="89"/>
      <c r="I42" s="89"/>
      <c r="J42" s="218"/>
      <c r="K42" s="217"/>
      <c r="L42" s="92"/>
      <c r="M42" s="92"/>
      <c r="N42" s="86"/>
    </row>
    <row r="43" spans="1:14" ht="14.25">
      <c r="A43" s="48"/>
      <c r="B43" s="53" t="s">
        <v>15</v>
      </c>
      <c r="C43" s="86"/>
      <c r="D43" s="86"/>
      <c r="E43" s="86"/>
      <c r="F43" s="48"/>
      <c r="G43" s="58"/>
      <c r="H43" s="57"/>
      <c r="I43" s="57"/>
      <c r="J43" s="218"/>
      <c r="K43" s="217"/>
      <c r="L43" s="50"/>
      <c r="M43" s="50"/>
      <c r="N43" s="48"/>
    </row>
    <row r="44" spans="1:14" ht="14.25">
      <c r="A44" s="48"/>
      <c r="B44" s="51" t="s">
        <v>220</v>
      </c>
      <c r="C44" s="86">
        <f>(1.268-1.142)/10*3+1.142</f>
        <v>1.1798</v>
      </c>
      <c r="D44" s="88">
        <f>($O$9*1.1798*1.5*1.15)/165.6</f>
        <v>46.454625</v>
      </c>
      <c r="E44" s="88">
        <f>($O$9*1.1798*0.15*1.15)/165.6</f>
        <v>4.6454625</v>
      </c>
      <c r="F44" s="88">
        <f>($O$9*1.1798*0.08*1.15)/165.6</f>
        <v>2.47758</v>
      </c>
      <c r="G44" s="58"/>
      <c r="H44" s="57"/>
      <c r="I44" s="57"/>
      <c r="J44" s="218"/>
      <c r="K44" s="217"/>
      <c r="L44" s="50"/>
      <c r="M44" s="50"/>
      <c r="N44" s="48"/>
    </row>
    <row r="45" spans="1:14" ht="14.25">
      <c r="A45" s="48"/>
      <c r="B45" s="51" t="s">
        <v>158</v>
      </c>
      <c r="C45" s="86"/>
      <c r="D45" s="86"/>
      <c r="E45" s="86"/>
      <c r="F45" s="48"/>
      <c r="G45" s="58"/>
      <c r="H45" s="57"/>
      <c r="I45" s="57"/>
      <c r="J45" s="218"/>
      <c r="K45" s="217"/>
      <c r="L45" s="50"/>
      <c r="M45" s="50"/>
      <c r="N45" s="48"/>
    </row>
    <row r="46" spans="1:14" ht="14.25">
      <c r="A46" s="48"/>
      <c r="B46" s="59">
        <v>50</v>
      </c>
      <c r="C46" s="86">
        <v>2.208</v>
      </c>
      <c r="D46" s="88">
        <f>$D$44*C46</f>
        <v>102.57181200000001</v>
      </c>
      <c r="E46" s="88">
        <f>$E$44*C46</f>
        <v>10.2571812</v>
      </c>
      <c r="F46" s="88">
        <f>$F$44*C46</f>
        <v>5.47049664</v>
      </c>
      <c r="G46" s="58">
        <f>(D46+E46+F46)*$G$14</f>
        <v>40.458425525280006</v>
      </c>
      <c r="H46" s="57">
        <f>SUM(D46:G46)</f>
        <v>158.75791536528</v>
      </c>
      <c r="I46" s="57">
        <f>H46*0.1</f>
        <v>15.875791536528002</v>
      </c>
      <c r="J46" s="218">
        <f>(D46+E46+F46)*$J$15</f>
        <v>27.445481642880004</v>
      </c>
      <c r="K46" s="218">
        <f>(D46+E46+F46)*$K$15</f>
        <v>92.2736020752</v>
      </c>
      <c r="L46" s="57">
        <f>(H46+I46+J46+K46)*$L$15</f>
        <v>58.87055812397761</v>
      </c>
      <c r="M46" s="57">
        <f>SUM(H46:L46)</f>
        <v>353.22334874386564</v>
      </c>
      <c r="N46" s="58">
        <f>M46+M46*$N$15</f>
        <v>416.80355151776143</v>
      </c>
    </row>
    <row r="47" spans="1:14" ht="14.25">
      <c r="A47" s="48"/>
      <c r="B47" s="59">
        <v>100</v>
      </c>
      <c r="C47" s="86">
        <v>2.335</v>
      </c>
      <c r="D47" s="88">
        <f>$D$44*C47</f>
        <v>108.471549375</v>
      </c>
      <c r="E47" s="88">
        <f>$E$44*C47</f>
        <v>10.8471549375</v>
      </c>
      <c r="F47" s="88">
        <f>$F$44*C47</f>
        <v>5.7851493000000005</v>
      </c>
      <c r="G47" s="58">
        <f>(D47+E47+F47)*$G$14</f>
        <v>42.785517935475</v>
      </c>
      <c r="H47" s="57">
        <f>SUM(D47:G47)</f>
        <v>167.88937154797497</v>
      </c>
      <c r="I47" s="57">
        <f>H47*0.1</f>
        <v>16.788937154797498</v>
      </c>
      <c r="J47" s="218">
        <f>(D47+E47+F47)*$J$15</f>
        <v>29.0240940381</v>
      </c>
      <c r="K47" s="218">
        <f>(D47+E47+F47)*$K$15</f>
        <v>97.58100581775</v>
      </c>
      <c r="L47" s="57">
        <f>(H47+I47+J47+K47)*$L$15</f>
        <v>62.2566817117245</v>
      </c>
      <c r="M47" s="57">
        <f>SUM(H47:L47)</f>
        <v>373.5400902703469</v>
      </c>
      <c r="N47" s="58">
        <f>M47+M47*$N$15</f>
        <v>440.77730651900936</v>
      </c>
    </row>
    <row r="48" spans="1:14" ht="14.25">
      <c r="A48" s="48"/>
      <c r="B48" s="59">
        <v>150</v>
      </c>
      <c r="C48" s="86">
        <v>3.37</v>
      </c>
      <c r="D48" s="88">
        <f>$D$44*C48</f>
        <v>156.55208625</v>
      </c>
      <c r="E48" s="88">
        <f>$E$44*C48</f>
        <v>15.655208625</v>
      </c>
      <c r="F48" s="88">
        <f>$F$44*C48</f>
        <v>8.3494446</v>
      </c>
      <c r="G48" s="58">
        <f>(D48+E48+F48)*$G$14</f>
        <v>61.75040490045001</v>
      </c>
      <c r="H48" s="57">
        <f>SUM(D48:G48)</f>
        <v>242.30714437545</v>
      </c>
      <c r="I48" s="57">
        <f>H48*0.1</f>
        <v>24.230714437545004</v>
      </c>
      <c r="J48" s="218">
        <f>(D48+E48+F48)*$J$15</f>
        <v>41.8891635582</v>
      </c>
      <c r="K48" s="218">
        <f>(D48+E48+F48)*$K$15</f>
        <v>140.8342567905</v>
      </c>
      <c r="L48" s="57">
        <f>(H48+I48+J48+K48)*$L$15</f>
        <v>89.85225583233901</v>
      </c>
      <c r="M48" s="57">
        <f>SUM(H48:L48)</f>
        <v>539.113534994034</v>
      </c>
      <c r="N48" s="58">
        <f>M48+M48*$N$15</f>
        <v>636.1539712929601</v>
      </c>
    </row>
    <row r="49" spans="1:14" ht="14.25">
      <c r="A49" s="48"/>
      <c r="B49" s="59"/>
      <c r="C49" s="86"/>
      <c r="D49" s="88"/>
      <c r="E49" s="88"/>
      <c r="F49" s="58"/>
      <c r="G49" s="58"/>
      <c r="H49" s="57"/>
      <c r="I49" s="57"/>
      <c r="J49" s="218"/>
      <c r="K49" s="218"/>
      <c r="L49" s="57"/>
      <c r="M49" s="57"/>
      <c r="N49" s="58"/>
    </row>
    <row r="50" spans="1:14" s="85" customFormat="1" ht="14.25">
      <c r="A50" s="86">
        <v>4</v>
      </c>
      <c r="B50" s="91" t="s">
        <v>157</v>
      </c>
      <c r="C50" s="86"/>
      <c r="D50" s="86"/>
      <c r="E50" s="86"/>
      <c r="F50" s="86"/>
      <c r="G50" s="88"/>
      <c r="H50" s="89"/>
      <c r="I50" s="89"/>
      <c r="J50" s="218"/>
      <c r="K50" s="217"/>
      <c r="L50" s="92"/>
      <c r="M50" s="92"/>
      <c r="N50" s="86"/>
    </row>
    <row r="51" spans="1:14" ht="14.25">
      <c r="A51" s="48"/>
      <c r="B51" s="53" t="s">
        <v>222</v>
      </c>
      <c r="C51" s="86"/>
      <c r="D51" s="86"/>
      <c r="E51" s="86"/>
      <c r="F51" s="48"/>
      <c r="G51" s="58"/>
      <c r="H51" s="57"/>
      <c r="I51" s="57"/>
      <c r="J51" s="218"/>
      <c r="K51" s="217"/>
      <c r="L51" s="50"/>
      <c r="M51" s="50"/>
      <c r="N51" s="48"/>
    </row>
    <row r="52" spans="1:14" ht="14.25">
      <c r="A52" s="48"/>
      <c r="B52" s="51" t="s">
        <v>221</v>
      </c>
      <c r="C52" s="86">
        <f>(1.268-1.142)/10*2+1.142</f>
        <v>1.1672</v>
      </c>
      <c r="D52" s="88">
        <f>($O$9*1.1672*1.5*1.15)/165.6</f>
        <v>45.958499999999994</v>
      </c>
      <c r="E52" s="88">
        <f>($O$9*1.1672*0.15*1.15)/165.6</f>
        <v>4.5958499999999995</v>
      </c>
      <c r="F52" s="88">
        <f>($O$9*1.1672*0.08*1.15)/165.6</f>
        <v>2.45112</v>
      </c>
      <c r="G52" s="58"/>
      <c r="H52" s="57"/>
      <c r="I52" s="57"/>
      <c r="J52" s="218"/>
      <c r="K52" s="217"/>
      <c r="L52" s="50"/>
      <c r="M52" s="50"/>
      <c r="N52" s="48"/>
    </row>
    <row r="53" spans="1:14" ht="14.25">
      <c r="A53" s="48"/>
      <c r="B53" s="51" t="s">
        <v>158</v>
      </c>
      <c r="C53" s="86"/>
      <c r="D53" s="86"/>
      <c r="E53" s="86"/>
      <c r="F53" s="48"/>
      <c r="G53" s="58"/>
      <c r="H53" s="57"/>
      <c r="I53" s="57"/>
      <c r="J53" s="218"/>
      <c r="K53" s="217"/>
      <c r="L53" s="50"/>
      <c r="M53" s="50"/>
      <c r="N53" s="48"/>
    </row>
    <row r="54" spans="1:14" ht="14.25">
      <c r="A54" s="48"/>
      <c r="B54" s="59">
        <v>50</v>
      </c>
      <c r="C54" s="86">
        <v>1.149</v>
      </c>
      <c r="D54" s="88">
        <f>$D$52*C54</f>
        <v>52.806316499999994</v>
      </c>
      <c r="E54" s="88">
        <f>$E$52*C54</f>
        <v>5.280631649999999</v>
      </c>
      <c r="F54" s="88">
        <f>$F$52*C54</f>
        <v>2.81633688</v>
      </c>
      <c r="G54" s="58">
        <f>(D54+E54+F54)*$G$14</f>
        <v>20.82892348026</v>
      </c>
      <c r="H54" s="57">
        <f>SUM(D54:G54)</f>
        <v>81.73220851026</v>
      </c>
      <c r="I54" s="57">
        <f>H54*0.1</f>
        <v>8.173220851026</v>
      </c>
      <c r="J54" s="218">
        <f>(D54+E54+F54)*$J$15</f>
        <v>14.129562126959998</v>
      </c>
      <c r="K54" s="218">
        <f>(D54+E54+F54)*$K$15</f>
        <v>47.504562323399995</v>
      </c>
      <c r="L54" s="57">
        <f>(H54+I54+J54+K54)*$L$15</f>
        <v>30.3079107623292</v>
      </c>
      <c r="M54" s="57">
        <f>SUM(H54:L54)</f>
        <v>181.84746457397517</v>
      </c>
      <c r="N54" s="58">
        <f>M54+M54*$N$15</f>
        <v>214.5800081972907</v>
      </c>
    </row>
    <row r="55" spans="1:14" ht="14.25">
      <c r="A55" s="61"/>
      <c r="B55" s="77">
        <v>100</v>
      </c>
      <c r="C55" s="96">
        <v>1.102</v>
      </c>
      <c r="D55" s="98">
        <f>$D$52*C55</f>
        <v>50.646266999999995</v>
      </c>
      <c r="E55" s="98">
        <f>$E$52*C55</f>
        <v>5.0646267</v>
      </c>
      <c r="F55" s="88">
        <f>$F$52*C55</f>
        <v>2.70113424</v>
      </c>
      <c r="G55" s="58">
        <f>(D55+E55+F55)*$G$14</f>
        <v>19.97691355548</v>
      </c>
      <c r="H55" s="67">
        <f>SUM(D55:G55)</f>
        <v>78.38894149548</v>
      </c>
      <c r="I55" s="67">
        <f>H55*0.1</f>
        <v>7.8388941495480005</v>
      </c>
      <c r="J55" s="218">
        <f>(D55+E55+F55)*$J$15</f>
        <v>13.55159048208</v>
      </c>
      <c r="K55" s="218">
        <f>(D55+E55+F55)*$K$15</f>
        <v>45.5613817932</v>
      </c>
      <c r="L55" s="57">
        <f>(H55+I55+J55+K55)*$L$15</f>
        <v>29.068161584061603</v>
      </c>
      <c r="M55" s="67">
        <f>SUM(H55:L55)</f>
        <v>174.40896950436962</v>
      </c>
      <c r="N55" s="58">
        <f>M55+M55*$N$15</f>
        <v>205.80258401515616</v>
      </c>
    </row>
    <row r="56" spans="1:14" ht="14.25">
      <c r="A56" s="48">
        <v>5</v>
      </c>
      <c r="B56" s="53" t="s">
        <v>133</v>
      </c>
      <c r="C56" s="86">
        <f>(1.142-1.09)/10*5+1.09</f>
        <v>1.116</v>
      </c>
      <c r="D56" s="86"/>
      <c r="E56" s="86"/>
      <c r="F56" s="48"/>
      <c r="G56" s="55"/>
      <c r="H56" s="56"/>
      <c r="I56" s="56"/>
      <c r="J56" s="219"/>
      <c r="K56" s="217"/>
      <c r="L56" s="50"/>
      <c r="M56" s="50"/>
      <c r="N56" s="48"/>
    </row>
    <row r="57" spans="1:14" ht="14.25">
      <c r="A57" s="48"/>
      <c r="B57" s="51" t="s">
        <v>207</v>
      </c>
      <c r="C57" s="86">
        <v>0.89</v>
      </c>
      <c r="D57" s="88">
        <f>($O$9*1.08*1.116*1.5*1.15)/165.6*C57</f>
        <v>42.237531000000004</v>
      </c>
      <c r="E57" s="88">
        <f>($O$9*1.08*1.116*0.15*1.15)/165.6*C57</f>
        <v>4.223753100000001</v>
      </c>
      <c r="F57" s="88"/>
      <c r="G57" s="58">
        <f>(D57+E57+F57)*$G$14</f>
        <v>15.889759162200004</v>
      </c>
      <c r="H57" s="57">
        <f>SUM(D57:G57)</f>
        <v>62.35104326220001</v>
      </c>
      <c r="I57" s="57">
        <f>H57*0.1</f>
        <v>6.235104326220001</v>
      </c>
      <c r="J57" s="218">
        <f>(D57+E57+F57)*$J$15</f>
        <v>10.779017911200002</v>
      </c>
      <c r="K57" s="218">
        <f>(D57+E57+F57)*$K$15</f>
        <v>36.23980159800001</v>
      </c>
      <c r="L57" s="57">
        <f>(H57+I57+J57+K57)*$L$15</f>
        <v>23.120993419524</v>
      </c>
      <c r="M57" s="57">
        <f>SUM(H57:L57)</f>
        <v>138.72596051714402</v>
      </c>
      <c r="N57" s="58">
        <f>M57+M57*$N$15</f>
        <v>163.69663341022994</v>
      </c>
    </row>
    <row r="58" spans="1:14" ht="14.25">
      <c r="A58" s="48">
        <v>6</v>
      </c>
      <c r="B58" s="53" t="s">
        <v>136</v>
      </c>
      <c r="C58" s="86"/>
      <c r="D58" s="86"/>
      <c r="E58" s="86"/>
      <c r="F58" s="48"/>
      <c r="G58" s="55"/>
      <c r="H58" s="56"/>
      <c r="I58" s="56"/>
      <c r="J58" s="219"/>
      <c r="K58" s="217"/>
      <c r="L58" s="50"/>
      <c r="M58" s="50"/>
      <c r="N58" s="48"/>
    </row>
    <row r="59" spans="1:14" ht="14.25">
      <c r="A59" s="48"/>
      <c r="B59" s="53" t="s">
        <v>137</v>
      </c>
      <c r="C59" s="86">
        <f>(1.09-1.04)/10*5+1.04</f>
        <v>1.065</v>
      </c>
      <c r="D59" s="86"/>
      <c r="E59" s="86"/>
      <c r="F59" s="48"/>
      <c r="G59" s="55"/>
      <c r="H59" s="56"/>
      <c r="I59" s="56"/>
      <c r="J59" s="219"/>
      <c r="K59" s="217"/>
      <c r="L59" s="50"/>
      <c r="M59" s="50"/>
      <c r="N59" s="48"/>
    </row>
    <row r="60" spans="1:14" ht="14.25">
      <c r="A60" s="48"/>
      <c r="B60" s="51" t="s">
        <v>138</v>
      </c>
      <c r="C60" s="86">
        <v>0.32</v>
      </c>
      <c r="D60" s="88">
        <f>($O$9*1.08*1.065*1.5*1.15)/165.6*C60</f>
        <v>14.492519999999999</v>
      </c>
      <c r="E60" s="88">
        <f>($O$9*1.08*1.116*0.15*1.15)/O10*C60</f>
        <v>1.5186528000000001</v>
      </c>
      <c r="F60" s="58"/>
      <c r="G60" s="58">
        <f>(D60+E60+F60)*$G$14</f>
        <v>5.475821097600001</v>
      </c>
      <c r="H60" s="57">
        <f>SUM(D60:G60)</f>
        <v>21.4869938976</v>
      </c>
      <c r="I60" s="57">
        <f>H60*0.1</f>
        <v>2.1486993897600004</v>
      </c>
      <c r="J60" s="218">
        <f>(D60+E60+F60)*$J$15</f>
        <v>3.7145920896000004</v>
      </c>
      <c r="K60" s="218">
        <f>(D60+E60+F60)*$K$15</f>
        <v>12.488714784</v>
      </c>
      <c r="L60" s="57">
        <f>(H60+I60+J60+K60)*$L$15</f>
        <v>7.9678000321920015</v>
      </c>
      <c r="M60" s="57">
        <f>SUM(H60:L60)</f>
        <v>47.80680019315201</v>
      </c>
      <c r="N60" s="58">
        <f>M60+M60*$N$15</f>
        <v>56.41202422791937</v>
      </c>
    </row>
    <row r="61" spans="1:14" ht="14.25">
      <c r="A61" s="61"/>
      <c r="B61" s="62"/>
      <c r="C61" s="96"/>
      <c r="D61" s="96"/>
      <c r="E61" s="96"/>
      <c r="F61" s="61"/>
      <c r="G61" s="65"/>
      <c r="H61" s="66"/>
      <c r="I61" s="66"/>
      <c r="J61" s="220"/>
      <c r="K61" s="221"/>
      <c r="L61" s="67"/>
      <c r="M61" s="67"/>
      <c r="N61" s="68"/>
    </row>
    <row r="62" spans="1:14" s="85" customFormat="1" ht="14.25">
      <c r="A62" s="90">
        <v>7</v>
      </c>
      <c r="B62" s="111" t="s">
        <v>135</v>
      </c>
      <c r="C62" s="90"/>
      <c r="D62" s="90"/>
      <c r="E62" s="90"/>
      <c r="F62" s="90"/>
      <c r="G62" s="101"/>
      <c r="H62" s="102"/>
      <c r="I62" s="102"/>
      <c r="J62" s="222"/>
      <c r="K62" s="223"/>
      <c r="L62" s="112"/>
      <c r="M62" s="112"/>
      <c r="N62" s="113"/>
    </row>
    <row r="63" spans="1:14" ht="14.25">
      <c r="A63" s="48"/>
      <c r="B63" s="51" t="s">
        <v>203</v>
      </c>
      <c r="C63" s="86">
        <v>0.87</v>
      </c>
      <c r="D63" s="88">
        <f>($O$9*1.08*1.09*1.5*1.15)/165.6*C63</f>
        <v>40.326457500000004</v>
      </c>
      <c r="E63" s="88">
        <f>($O$9*1.08*1.09*0.15*1.15)/O10*C63</f>
        <v>4.032645750000001</v>
      </c>
      <c r="F63" s="58"/>
      <c r="G63" s="58">
        <f>(D63+E63+F63)*$G$14</f>
        <v>15.170813311500002</v>
      </c>
      <c r="H63" s="57">
        <f>SUM(D63:G63)</f>
        <v>59.5299165615</v>
      </c>
      <c r="I63" s="57">
        <f>H63*0.1</f>
        <v>5.952991656150001</v>
      </c>
      <c r="J63" s="218">
        <f>(D63+E63+F63)*$J$15</f>
        <v>10.291311954000001</v>
      </c>
      <c r="K63" s="218">
        <f>(D63+E63+F63)*$K$15</f>
        <v>34.600100535</v>
      </c>
      <c r="L63" s="57">
        <f>(H63+I63+J63+K63)*$L$15</f>
        <v>22.07486414133</v>
      </c>
      <c r="M63" s="57">
        <f>SUM(H63:L63)</f>
        <v>132.44918484798</v>
      </c>
      <c r="N63" s="58">
        <f>M63+M63*$N$15</f>
        <v>156.2900381206164</v>
      </c>
    </row>
    <row r="64" spans="1:14" ht="14.25">
      <c r="A64" s="48"/>
      <c r="B64" s="51"/>
      <c r="C64" s="86"/>
      <c r="D64" s="86"/>
      <c r="E64" s="86"/>
      <c r="F64" s="48"/>
      <c r="G64" s="55"/>
      <c r="H64" s="56"/>
      <c r="I64" s="56"/>
      <c r="J64" s="219"/>
      <c r="K64" s="217"/>
      <c r="L64" s="50"/>
      <c r="M64" s="50"/>
      <c r="N64" s="48"/>
    </row>
    <row r="65" spans="1:14" s="85" customFormat="1" ht="14.25">
      <c r="A65" s="86">
        <v>8</v>
      </c>
      <c r="B65" s="91" t="s">
        <v>271</v>
      </c>
      <c r="C65" s="86"/>
      <c r="D65" s="86"/>
      <c r="E65" s="86"/>
      <c r="F65" s="86"/>
      <c r="G65" s="93"/>
      <c r="H65" s="94"/>
      <c r="I65" s="94"/>
      <c r="J65" s="219"/>
      <c r="K65" s="217"/>
      <c r="L65" s="92"/>
      <c r="M65" s="92"/>
      <c r="N65" s="86"/>
    </row>
    <row r="66" spans="1:14" ht="14.25">
      <c r="A66" s="48"/>
      <c r="B66" s="53" t="s">
        <v>272</v>
      </c>
      <c r="C66" s="86"/>
      <c r="D66" s="86"/>
      <c r="E66" s="86"/>
      <c r="F66" s="48"/>
      <c r="G66" s="55"/>
      <c r="H66" s="56"/>
      <c r="I66" s="56"/>
      <c r="J66" s="219"/>
      <c r="K66" s="217"/>
      <c r="L66" s="50"/>
      <c r="M66" s="50"/>
      <c r="N66" s="48"/>
    </row>
    <row r="67" spans="1:14" ht="14.25">
      <c r="A67" s="48"/>
      <c r="B67" s="51" t="s">
        <v>203</v>
      </c>
      <c r="C67" s="86"/>
      <c r="D67" s="88">
        <f>($O$9*1.08*1.09*1.5*1.15)/166</f>
        <v>46.240557831325305</v>
      </c>
      <c r="E67" s="88">
        <f>($O$9*1.08*1.09*0.15*1.15)/O10</f>
        <v>4.635225000000001</v>
      </c>
      <c r="F67" s="88"/>
      <c r="G67" s="55"/>
      <c r="H67" s="56"/>
      <c r="I67" s="56"/>
      <c r="J67" s="219"/>
      <c r="K67" s="217"/>
      <c r="L67" s="50"/>
      <c r="M67" s="50"/>
      <c r="N67" s="48"/>
    </row>
    <row r="68" spans="1:14" s="85" customFormat="1" ht="14.25">
      <c r="A68" s="86"/>
      <c r="B68" s="87" t="s">
        <v>273</v>
      </c>
      <c r="C68" s="86">
        <v>0.43</v>
      </c>
      <c r="D68" s="88">
        <f>C68*$D$67</f>
        <v>19.883439867469882</v>
      </c>
      <c r="E68" s="88">
        <f>C68*$E$67</f>
        <v>1.9931467500000004</v>
      </c>
      <c r="F68" s="88"/>
      <c r="G68" s="58">
        <f>(D68+E68+F68)*$G$14</f>
        <v>7.481792623174701</v>
      </c>
      <c r="H68" s="89">
        <f>SUM(D68:G68)</f>
        <v>29.358379240644584</v>
      </c>
      <c r="I68" s="89">
        <f>H68*0.1</f>
        <v>2.9358379240644585</v>
      </c>
      <c r="J68" s="218">
        <f>(D68+E68+F68)*$J$15</f>
        <v>5.075368095253013</v>
      </c>
      <c r="K68" s="218">
        <f>(D68+E68+F68)*$K$15</f>
        <v>17.06373756162651</v>
      </c>
      <c r="L68" s="57">
        <f>(H68+I68+J68+K68)*$L$15</f>
        <v>10.886664564317714</v>
      </c>
      <c r="M68" s="89">
        <f>SUM(H68:L68)</f>
        <v>65.31998738590629</v>
      </c>
      <c r="N68" s="58">
        <f>M68+M68*$N$15</f>
        <v>77.07758511536942</v>
      </c>
    </row>
    <row r="69" spans="1:14" s="85" customFormat="1" ht="14.25">
      <c r="A69" s="86"/>
      <c r="B69" s="87" t="s">
        <v>274</v>
      </c>
      <c r="C69" s="86">
        <v>0.53</v>
      </c>
      <c r="D69" s="88">
        <f>C69*$D$67</f>
        <v>24.50749565060241</v>
      </c>
      <c r="E69" s="88">
        <f>C69*$E$67</f>
        <v>2.4566692500000005</v>
      </c>
      <c r="F69" s="88"/>
      <c r="G69" s="58">
        <f>(D69+E69+F69)*$G$14</f>
        <v>9.221744396006025</v>
      </c>
      <c r="H69" s="89">
        <f>SUM(D69:G69)</f>
        <v>36.185909296608436</v>
      </c>
      <c r="I69" s="89">
        <f>H69*0.1</f>
        <v>3.6185909296608436</v>
      </c>
      <c r="J69" s="218">
        <f>(D69+E69+F69)*$J$15</f>
        <v>6.25568625693976</v>
      </c>
      <c r="K69" s="218">
        <f>(D69+E69+F69)*$K$15</f>
        <v>21.032048622469883</v>
      </c>
      <c r="L69" s="57">
        <f>(H69+I69+J69+K69)*$L$15</f>
        <v>13.418447021135785</v>
      </c>
      <c r="M69" s="89">
        <f>SUM(H69:L69)</f>
        <v>80.51068212681471</v>
      </c>
      <c r="N69" s="58">
        <f>M69+M69*$N$15</f>
        <v>95.00260490964136</v>
      </c>
    </row>
    <row r="70" spans="1:14" ht="14.25">
      <c r="A70" s="48"/>
      <c r="B70" s="51"/>
      <c r="C70" s="86"/>
      <c r="D70" s="86"/>
      <c r="E70" s="86"/>
      <c r="F70" s="48"/>
      <c r="G70" s="55"/>
      <c r="H70" s="56"/>
      <c r="I70" s="56"/>
      <c r="J70" s="219"/>
      <c r="K70" s="217"/>
      <c r="L70" s="50"/>
      <c r="M70" s="50"/>
      <c r="N70" s="48"/>
    </row>
    <row r="71" spans="1:14" s="85" customFormat="1" ht="14.25">
      <c r="A71" s="86">
        <v>9</v>
      </c>
      <c r="B71" s="91" t="s">
        <v>185</v>
      </c>
      <c r="C71" s="86"/>
      <c r="D71" s="88"/>
      <c r="E71" s="88"/>
      <c r="F71" s="88"/>
      <c r="G71" s="88"/>
      <c r="H71" s="89"/>
      <c r="I71" s="89"/>
      <c r="J71" s="218"/>
      <c r="K71" s="218"/>
      <c r="L71" s="89"/>
      <c r="M71" s="89"/>
      <c r="N71" s="88"/>
    </row>
    <row r="72" spans="1:14" ht="14.25">
      <c r="A72" s="48"/>
      <c r="B72" s="51" t="s">
        <v>215</v>
      </c>
      <c r="C72" s="86">
        <f>(1.142-1.09)/10*6+1.09</f>
        <v>1.1212</v>
      </c>
      <c r="D72" s="88">
        <f>($O$9*1.08*C72*1.5*1.15)/166</f>
        <v>47.56414077108433</v>
      </c>
      <c r="E72" s="88">
        <f>($O$9*1.08*1.1212*0.15*1.15)/O10</f>
        <v>4.7679030000000004</v>
      </c>
      <c r="F72" s="58"/>
      <c r="G72" s="55"/>
      <c r="H72" s="56"/>
      <c r="I72" s="56"/>
      <c r="J72" s="219"/>
      <c r="K72" s="217"/>
      <c r="L72" s="50"/>
      <c r="M72" s="50"/>
      <c r="N72" s="48"/>
    </row>
    <row r="73" spans="1:14" ht="14.25">
      <c r="A73" s="48"/>
      <c r="B73" s="60" t="s">
        <v>186</v>
      </c>
      <c r="C73" s="86">
        <v>7.21</v>
      </c>
      <c r="D73" s="88">
        <f>$D$72*C73</f>
        <v>342.93745495951805</v>
      </c>
      <c r="E73" s="88">
        <f>$E$72*C73</f>
        <v>34.37658063000001</v>
      </c>
      <c r="F73" s="58"/>
      <c r="G73" s="58">
        <f>(D73+E73+F73)*$G$14</f>
        <v>129.0414001716152</v>
      </c>
      <c r="H73" s="57">
        <f>SUM(D73:G73)</f>
        <v>506.3554357611333</v>
      </c>
      <c r="I73" s="57">
        <f>H73*0.1</f>
        <v>50.635543576113335</v>
      </c>
      <c r="J73" s="218">
        <f>(D73+E73+F73)*$J$15</f>
        <v>87.5368562567682</v>
      </c>
      <c r="K73" s="218">
        <f>(D73+E73+F73)*$K$15</f>
        <v>294.30494775982413</v>
      </c>
      <c r="L73" s="57">
        <f>(H73+I73+J73+K73)*$L$15</f>
        <v>187.76655667076784</v>
      </c>
      <c r="M73" s="57">
        <f>SUM(H73:L73)</f>
        <v>1126.599340024607</v>
      </c>
      <c r="N73" s="58">
        <f>M73+M73*$N$15</f>
        <v>1329.3872212290362</v>
      </c>
    </row>
    <row r="74" spans="1:14" ht="14.25">
      <c r="A74" s="48"/>
      <c r="B74" s="60" t="s">
        <v>187</v>
      </c>
      <c r="C74" s="86">
        <v>6.71</v>
      </c>
      <c r="D74" s="88">
        <f>$D$72*C74</f>
        <v>319.1553845739759</v>
      </c>
      <c r="E74" s="88">
        <f>$E$72*C74</f>
        <v>31.992629130000005</v>
      </c>
      <c r="F74" s="58"/>
      <c r="G74" s="58">
        <f>(D74+E74+F74)*$G$14</f>
        <v>120.09262068675976</v>
      </c>
      <c r="H74" s="57">
        <f>SUM(D74:G74)</f>
        <v>471.24063439073564</v>
      </c>
      <c r="I74" s="57">
        <f>H74*0.1</f>
        <v>47.124063439073566</v>
      </c>
      <c r="J74" s="218">
        <f>(D74+E74+F74)*$J$15</f>
        <v>81.46633917932242</v>
      </c>
      <c r="K74" s="218">
        <f>(D74+E74+F74)*$K$15</f>
        <v>273.8954506891012</v>
      </c>
      <c r="L74" s="57">
        <f>(H74+I74+J74+K74)*$L$15</f>
        <v>174.74529753964657</v>
      </c>
      <c r="M74" s="57">
        <f>SUM(H74:L74)</f>
        <v>1048.4717852378794</v>
      </c>
      <c r="N74" s="58">
        <f>M74+M74*$N$15</f>
        <v>1237.1967065806978</v>
      </c>
    </row>
    <row r="75" spans="1:14" ht="14.25">
      <c r="A75" s="48"/>
      <c r="B75" s="51"/>
      <c r="C75" s="86"/>
      <c r="D75" s="86"/>
      <c r="E75" s="86"/>
      <c r="F75" s="48"/>
      <c r="G75" s="55"/>
      <c r="H75" s="56"/>
      <c r="I75" s="56"/>
      <c r="J75" s="219"/>
      <c r="K75" s="218"/>
      <c r="L75" s="57"/>
      <c r="M75" s="57"/>
      <c r="N75" s="58"/>
    </row>
    <row r="76" spans="1:14" s="85" customFormat="1" ht="14.25">
      <c r="A76" s="86">
        <v>10</v>
      </c>
      <c r="B76" s="91" t="s">
        <v>210</v>
      </c>
      <c r="C76" s="86"/>
      <c r="D76" s="88"/>
      <c r="E76" s="86"/>
      <c r="F76" s="86"/>
      <c r="G76" s="93"/>
      <c r="H76" s="94"/>
      <c r="I76" s="94"/>
      <c r="J76" s="219"/>
      <c r="K76" s="217"/>
      <c r="L76" s="92"/>
      <c r="M76" s="92"/>
      <c r="N76" s="86"/>
    </row>
    <row r="77" spans="1:14" ht="14.25">
      <c r="A77" s="48"/>
      <c r="B77" s="51" t="s">
        <v>207</v>
      </c>
      <c r="C77" s="86">
        <v>0.546</v>
      </c>
      <c r="D77" s="88">
        <f>($O$9*1.08*1.116*1.5*1.15)/166*C77</f>
        <v>25.84957481349398</v>
      </c>
      <c r="E77" s="88">
        <f>($O$9*1.08*1.116*0.15*1.15)/O10*C77</f>
        <v>2.5912013400000005</v>
      </c>
      <c r="F77" s="58"/>
      <c r="G77" s="58">
        <f>(D77+E77+F77)*$G$14</f>
        <v>9.726745444494943</v>
      </c>
      <c r="H77" s="57">
        <f>SUM(D77:G77)</f>
        <v>38.16752159798892</v>
      </c>
      <c r="I77" s="57">
        <f>H77*0.1</f>
        <v>3.8167521597988925</v>
      </c>
      <c r="J77" s="218">
        <f>(D77+E77+F77)*$J$15</f>
        <v>6.598260067610604</v>
      </c>
      <c r="K77" s="218">
        <f>(D77+E77+F77)*$K$15</f>
        <v>22.183805399725305</v>
      </c>
      <c r="L77" s="57">
        <f>(H77+I77+J77+K77)*$L$15</f>
        <v>14.153267845024747</v>
      </c>
      <c r="M77" s="57">
        <f>SUM(H77:L77)</f>
        <v>84.91960707014847</v>
      </c>
      <c r="N77" s="58">
        <f>M77+M77*$N$15</f>
        <v>100.2051363427752</v>
      </c>
    </row>
    <row r="78" spans="1:14" ht="14.25">
      <c r="A78" s="48"/>
      <c r="B78" s="51"/>
      <c r="C78" s="86"/>
      <c r="D78" s="88"/>
      <c r="E78" s="88"/>
      <c r="F78" s="58"/>
      <c r="G78" s="55"/>
      <c r="H78" s="56"/>
      <c r="I78" s="56"/>
      <c r="J78" s="219"/>
      <c r="K78" s="217"/>
      <c r="L78" s="50"/>
      <c r="M78" s="50"/>
      <c r="N78" s="48"/>
    </row>
    <row r="79" spans="1:14" ht="14.25">
      <c r="A79" s="48">
        <v>11</v>
      </c>
      <c r="B79" s="53" t="s">
        <v>211</v>
      </c>
      <c r="C79" s="86"/>
      <c r="D79" s="88"/>
      <c r="E79" s="88"/>
      <c r="F79" s="58"/>
      <c r="G79" s="55"/>
      <c r="H79" s="56"/>
      <c r="I79" s="56"/>
      <c r="J79" s="219"/>
      <c r="K79" s="217"/>
      <c r="L79" s="50"/>
      <c r="M79" s="50"/>
      <c r="N79" s="48"/>
    </row>
    <row r="80" spans="1:14" ht="14.25">
      <c r="A80" s="48"/>
      <c r="B80" s="51" t="s">
        <v>212</v>
      </c>
      <c r="C80" s="86">
        <v>1.24</v>
      </c>
      <c r="D80" s="88">
        <f>($O$9*1.08*1.142*1.5*1.15)/166*C80</f>
        <v>60.07369645301205</v>
      </c>
      <c r="E80" s="88">
        <f>($O$9*1.08*1.142*0.15*1.15)/O10*C80</f>
        <v>6.0218802</v>
      </c>
      <c r="F80" s="58"/>
      <c r="G80" s="58">
        <f>(D80+E80+F80)*$G$14</f>
        <v>22.60468721533012</v>
      </c>
      <c r="H80" s="57">
        <f>SUM(D80:G80)</f>
        <v>88.70026386834216</v>
      </c>
      <c r="I80" s="57">
        <f>H80*0.1</f>
        <v>8.870026386834217</v>
      </c>
      <c r="J80" s="218">
        <f>(D80+E80+F80)*$J$15</f>
        <v>15.334173783498795</v>
      </c>
      <c r="K80" s="218">
        <f>(D80+E80+F80)*$K$15</f>
        <v>51.554549789349394</v>
      </c>
      <c r="L80" s="57">
        <f>(H80+I80+J80+K80)*$L$15</f>
        <v>32.891802765604915</v>
      </c>
      <c r="M80" s="57">
        <f>SUM(H80:L80)</f>
        <v>197.3508165936295</v>
      </c>
      <c r="N80" s="58">
        <f>M80+M80*$N$15</f>
        <v>232.8739635804828</v>
      </c>
    </row>
    <row r="81" spans="1:14" ht="14.25">
      <c r="A81" s="48"/>
      <c r="B81" s="51"/>
      <c r="C81" s="86"/>
      <c r="D81" s="86"/>
      <c r="E81" s="86"/>
      <c r="F81" s="48"/>
      <c r="G81" s="55"/>
      <c r="H81" s="56"/>
      <c r="I81" s="56"/>
      <c r="J81" s="219"/>
      <c r="K81" s="217"/>
      <c r="L81" s="50"/>
      <c r="M81" s="50"/>
      <c r="N81" s="48"/>
    </row>
    <row r="82" spans="1:14" s="85" customFormat="1" ht="14.25">
      <c r="A82" s="86">
        <v>12</v>
      </c>
      <c r="B82" s="91" t="s">
        <v>160</v>
      </c>
      <c r="C82" s="86"/>
      <c r="D82" s="86"/>
      <c r="E82" s="86"/>
      <c r="F82" s="86"/>
      <c r="G82" s="93"/>
      <c r="H82" s="94"/>
      <c r="I82" s="94"/>
      <c r="J82" s="219"/>
      <c r="K82" s="217"/>
      <c r="L82" s="92"/>
      <c r="M82" s="92"/>
      <c r="N82" s="86"/>
    </row>
    <row r="83" spans="1:14" ht="14.25">
      <c r="A83" s="48"/>
      <c r="B83" s="51" t="s">
        <v>132</v>
      </c>
      <c r="C83" s="86"/>
      <c r="D83" s="86"/>
      <c r="E83" s="86"/>
      <c r="F83" s="48"/>
      <c r="G83" s="55"/>
      <c r="H83" s="56"/>
      <c r="I83" s="56"/>
      <c r="J83" s="219"/>
      <c r="K83" s="217"/>
      <c r="L83" s="50"/>
      <c r="M83" s="50"/>
      <c r="N83" s="48"/>
    </row>
    <row r="84" spans="1:14" ht="14.25">
      <c r="A84" s="48"/>
      <c r="B84" s="51" t="s">
        <v>175</v>
      </c>
      <c r="C84" s="86"/>
      <c r="D84" s="86"/>
      <c r="E84" s="86"/>
      <c r="F84" s="48"/>
      <c r="G84" s="55"/>
      <c r="H84" s="56"/>
      <c r="I84" s="56"/>
      <c r="J84" s="219"/>
      <c r="K84" s="217"/>
      <c r="L84" s="50"/>
      <c r="M84" s="50"/>
      <c r="N84" s="48"/>
    </row>
    <row r="85" spans="1:14" ht="14.25">
      <c r="A85" s="48"/>
      <c r="B85" s="59">
        <v>50</v>
      </c>
      <c r="C85" s="86">
        <v>1.2</v>
      </c>
      <c r="D85" s="88">
        <f>($O$9*1.08*1.1212*1.5*1.15)/166*C85</f>
        <v>57.076968925301195</v>
      </c>
      <c r="E85" s="88">
        <f>($O$9*1.08*1.1212*0.15*1.15)/O10*C85</f>
        <v>5.7214836</v>
      </c>
      <c r="F85" s="58"/>
      <c r="G85" s="58">
        <f>(D85+E85+F85)*$G$14</f>
        <v>21.47707076365301</v>
      </c>
      <c r="H85" s="57">
        <f>SUM(D85:G85)</f>
        <v>84.2755232889542</v>
      </c>
      <c r="I85" s="57">
        <f>H85*0.1</f>
        <v>8.427552328895421</v>
      </c>
      <c r="J85" s="218">
        <f>(D85+E85+F85)*$J$15</f>
        <v>14.569240985869877</v>
      </c>
      <c r="K85" s="218">
        <f>(D85+E85+F85)*$K$15</f>
        <v>48.98279296973493</v>
      </c>
      <c r="L85" s="57">
        <f>(H85+I85+J85+K85)*$L$15</f>
        <v>31.251021914690888</v>
      </c>
      <c r="M85" s="57">
        <f>SUM(H85:L85)</f>
        <v>187.50613148814531</v>
      </c>
      <c r="N85" s="58">
        <f>M85+M85*$N$15</f>
        <v>221.25723515601146</v>
      </c>
    </row>
    <row r="86" spans="1:14" ht="14.25">
      <c r="A86" s="48"/>
      <c r="B86" s="59">
        <v>100</v>
      </c>
      <c r="C86" s="86">
        <v>2.92</v>
      </c>
      <c r="D86" s="88">
        <f>($O$9*1.08*1.1212*1.5*1.15)/166*C86</f>
        <v>138.88729105156625</v>
      </c>
      <c r="E86" s="88">
        <f>($O$9*1.08*1.1212*0.15*1.15)/O10*C86</f>
        <v>13.92227676</v>
      </c>
      <c r="F86" s="58"/>
      <c r="G86" s="58">
        <f>(D86+E86+F86)*$G$14</f>
        <v>52.260872191555656</v>
      </c>
      <c r="H86" s="57">
        <f>SUM(D86:G86)</f>
        <v>205.0704400031219</v>
      </c>
      <c r="I86" s="57">
        <f>H86*0.1</f>
        <v>20.50704400031219</v>
      </c>
      <c r="J86" s="218">
        <f>(D86+E86+F86)*$J$15</f>
        <v>35.45181973228337</v>
      </c>
      <c r="K86" s="218">
        <f>(D86+E86+F86)*$K$15</f>
        <v>119.19146289302167</v>
      </c>
      <c r="L86" s="57">
        <f>(H86+I86+J86+K86)*$L$15</f>
        <v>76.04415332574783</v>
      </c>
      <c r="M86" s="57">
        <f>SUM(H86:L86)</f>
        <v>456.2649199544869</v>
      </c>
      <c r="N86" s="58">
        <f>M86+M86*$N$15</f>
        <v>538.3926055462946</v>
      </c>
    </row>
    <row r="87" spans="1:14" ht="14.25">
      <c r="A87" s="48"/>
      <c r="B87" s="59"/>
      <c r="C87" s="86"/>
      <c r="D87" s="88"/>
      <c r="E87" s="88"/>
      <c r="F87" s="58"/>
      <c r="G87" s="58"/>
      <c r="H87" s="57"/>
      <c r="I87" s="57"/>
      <c r="J87" s="218"/>
      <c r="K87" s="218"/>
      <c r="L87" s="57"/>
      <c r="M87" s="57"/>
      <c r="N87" s="58"/>
    </row>
    <row r="88" spans="1:14" s="85" customFormat="1" ht="14.25">
      <c r="A88" s="86">
        <v>13</v>
      </c>
      <c r="B88" s="91" t="s">
        <v>161</v>
      </c>
      <c r="C88" s="86"/>
      <c r="D88" s="86"/>
      <c r="E88" s="86"/>
      <c r="F88" s="86"/>
      <c r="G88" s="93"/>
      <c r="H88" s="94"/>
      <c r="I88" s="94"/>
      <c r="J88" s="219"/>
      <c r="K88" s="217"/>
      <c r="L88" s="92"/>
      <c r="M88" s="92"/>
      <c r="N88" s="86"/>
    </row>
    <row r="89" spans="1:14" ht="14.25">
      <c r="A89" s="48"/>
      <c r="B89" s="51" t="s">
        <v>208</v>
      </c>
      <c r="C89" s="86">
        <v>0.39</v>
      </c>
      <c r="D89" s="88">
        <f>($O$9*1.08*1.116*1.5*1.15)/166*C89</f>
        <v>18.463982009638556</v>
      </c>
      <c r="E89" s="88">
        <f>($O$9*1.08*1.116*0.15*1.15)/O10*C89</f>
        <v>1.8508581000000002</v>
      </c>
      <c r="F89" s="58"/>
      <c r="G89" s="58">
        <f>(D89+E89+F89)*$G$14</f>
        <v>6.947675317496387</v>
      </c>
      <c r="H89" s="57">
        <f>SUM(D89:G89)</f>
        <v>27.262515427134943</v>
      </c>
      <c r="I89" s="57">
        <f>H89*0.1</f>
        <v>2.7262515427134946</v>
      </c>
      <c r="J89" s="218">
        <f>(D89+E89+F89)*$J$15</f>
        <v>4.713042905436145</v>
      </c>
      <c r="K89" s="218">
        <f>(D89+E89+F89)*$K$15</f>
        <v>15.845575285518075</v>
      </c>
      <c r="L89" s="57">
        <f>(H89+I89+J89+K89)*$L$15</f>
        <v>10.109477032160532</v>
      </c>
      <c r="M89" s="57">
        <f>SUM(H89:L89)</f>
        <v>60.65686219296319</v>
      </c>
      <c r="N89" s="58">
        <f>M89+M89*$N$15</f>
        <v>71.57509738769656</v>
      </c>
    </row>
    <row r="90" spans="1:14" ht="14.25">
      <c r="A90" s="48"/>
      <c r="B90" s="51"/>
      <c r="C90" s="86"/>
      <c r="D90" s="86"/>
      <c r="E90" s="86"/>
      <c r="F90" s="48"/>
      <c r="G90" s="55"/>
      <c r="H90" s="56"/>
      <c r="I90" s="56"/>
      <c r="J90" s="219"/>
      <c r="K90" s="217"/>
      <c r="L90" s="50"/>
      <c r="M90" s="50"/>
      <c r="N90" s="48"/>
    </row>
    <row r="91" spans="1:14" s="85" customFormat="1" ht="14.25">
      <c r="A91" s="86">
        <v>14</v>
      </c>
      <c r="B91" s="91" t="s">
        <v>162</v>
      </c>
      <c r="C91" s="86"/>
      <c r="D91" s="86"/>
      <c r="E91" s="86"/>
      <c r="F91" s="86"/>
      <c r="G91" s="93"/>
      <c r="H91" s="94"/>
      <c r="I91" s="94"/>
      <c r="J91" s="219"/>
      <c r="K91" s="217"/>
      <c r="L91" s="92"/>
      <c r="M91" s="92"/>
      <c r="N91" s="86"/>
    </row>
    <row r="92" spans="1:14" ht="14.25">
      <c r="A92" s="48"/>
      <c r="B92" s="51" t="s">
        <v>209</v>
      </c>
      <c r="C92" s="86">
        <f>(1.268-1.142)/10*1+1.142</f>
        <v>1.1545999999999998</v>
      </c>
      <c r="D92" s="86"/>
      <c r="E92" s="86"/>
      <c r="F92" s="48"/>
      <c r="G92" s="55"/>
      <c r="H92" s="56"/>
      <c r="I92" s="56"/>
      <c r="J92" s="219"/>
      <c r="K92" s="217"/>
      <c r="L92" s="50"/>
      <c r="M92" s="50"/>
      <c r="N92" s="48"/>
    </row>
    <row r="93" spans="1:14" ht="14.25">
      <c r="A93" s="48"/>
      <c r="B93" s="60" t="s">
        <v>163</v>
      </c>
      <c r="C93" s="86">
        <v>2.67</v>
      </c>
      <c r="D93" s="88">
        <f>($O$9*1.08*1.1546*1.5*1.15)/166*C93</f>
        <v>130.77941224987956</v>
      </c>
      <c r="E93" s="88">
        <f>($O$9*1.08*1.1546*0.15*1.15)/165.6*C93</f>
        <v>13.109530455000002</v>
      </c>
      <c r="F93" s="58"/>
      <c r="G93" s="58">
        <f>(D93+E93+F93)*$G$14</f>
        <v>49.21001840506881</v>
      </c>
      <c r="H93" s="57">
        <f>SUM(D93:G93)</f>
        <v>193.09896110994836</v>
      </c>
      <c r="I93" s="57">
        <f>H93*0.1</f>
        <v>19.30989611099484</v>
      </c>
      <c r="J93" s="218">
        <f>(D93+E93+F93)*$J$15</f>
        <v>33.38223470753206</v>
      </c>
      <c r="K93" s="218">
        <f>(D93+E93+F93)*$K$15</f>
        <v>112.23337530980605</v>
      </c>
      <c r="L93" s="57">
        <f>(H93+I93+J93+K93)*$L$15</f>
        <v>71.60489344765627</v>
      </c>
      <c r="M93" s="57">
        <f>SUM(H93:L93)</f>
        <v>429.62936068593757</v>
      </c>
      <c r="N93" s="58">
        <f>M93+M93*$N$15</f>
        <v>506.9626456094063</v>
      </c>
    </row>
    <row r="94" spans="1:14" ht="14.25">
      <c r="A94" s="48"/>
      <c r="B94" s="60" t="s">
        <v>164</v>
      </c>
      <c r="C94" s="93">
        <v>2</v>
      </c>
      <c r="D94" s="88">
        <f>($O$9*1.08*1.1546*1.5*1.15)/166*C94</f>
        <v>97.96210655421689</v>
      </c>
      <c r="E94" s="88">
        <f>($O$9*1.08*1.1546*0.15*1.15)/166*C94</f>
        <v>9.796210655421687</v>
      </c>
      <c r="F94" s="58"/>
      <c r="G94" s="58">
        <f>(D94+E94+F94)*$G$14</f>
        <v>36.8533444856964</v>
      </c>
      <c r="H94" s="57">
        <f>SUM(D94:G94)</f>
        <v>144.611661695335</v>
      </c>
      <c r="I94" s="57">
        <f>H94*0.1</f>
        <v>14.461166169533499</v>
      </c>
      <c r="J94" s="218">
        <f>(D94+E94+F94)*$J$15</f>
        <v>24.99992959263615</v>
      </c>
      <c r="K94" s="218">
        <f>(D94+E94+F94)*$K$15</f>
        <v>84.0514874235181</v>
      </c>
      <c r="L94" s="57">
        <f>(H94+I94+J94+K94)*$L$15</f>
        <v>53.62484897620455</v>
      </c>
      <c r="M94" s="57">
        <f>SUM(H94:L94)</f>
        <v>321.74909385722725</v>
      </c>
      <c r="N94" s="58">
        <f>M94+M94*$N$15</f>
        <v>379.66393075152814</v>
      </c>
    </row>
    <row r="95" spans="1:14" ht="14.25">
      <c r="A95" s="48"/>
      <c r="B95" s="51"/>
      <c r="C95" s="86"/>
      <c r="D95" s="86"/>
      <c r="E95" s="86"/>
      <c r="F95" s="48"/>
      <c r="G95" s="55"/>
      <c r="H95" s="56"/>
      <c r="I95" s="56"/>
      <c r="J95" s="219"/>
      <c r="K95" s="217"/>
      <c r="L95" s="50"/>
      <c r="M95" s="50"/>
      <c r="N95" s="48"/>
    </row>
    <row r="96" spans="1:14" ht="14.25">
      <c r="A96" s="48">
        <v>15</v>
      </c>
      <c r="B96" s="53" t="s">
        <v>134</v>
      </c>
      <c r="C96" s="86"/>
      <c r="D96" s="86"/>
      <c r="E96" s="86"/>
      <c r="F96" s="48"/>
      <c r="G96" s="55"/>
      <c r="H96" s="56"/>
      <c r="I96" s="56"/>
      <c r="J96" s="219"/>
      <c r="K96" s="217"/>
      <c r="L96" s="50"/>
      <c r="M96" s="50"/>
      <c r="N96" s="48"/>
    </row>
    <row r="97" spans="1:14" ht="14.25">
      <c r="A97" s="48"/>
      <c r="B97" s="51" t="s">
        <v>203</v>
      </c>
      <c r="C97" s="86">
        <v>0.46</v>
      </c>
      <c r="D97" s="88">
        <f>($O$9*1.08*1.09*1.5*1.15)/166*C97</f>
        <v>21.27065660240964</v>
      </c>
      <c r="E97" s="88">
        <f>($O$9*1.08*1.09*0.15*1.15)/166*C97</f>
        <v>2.127065660240964</v>
      </c>
      <c r="F97" s="58"/>
      <c r="G97" s="58">
        <f>(D97+E97+F97)*$G$14</f>
        <v>8.002021013826507</v>
      </c>
      <c r="H97" s="57">
        <f>SUM(D97:G97)</f>
        <v>31.39974327647711</v>
      </c>
      <c r="I97" s="57">
        <f>H97*0.1</f>
        <v>3.1399743276477112</v>
      </c>
      <c r="J97" s="218">
        <f>(D97+E97+F97)*$J$15</f>
        <v>5.42827156493494</v>
      </c>
      <c r="K97" s="218">
        <f>(D97+E97+F97)*$K$15</f>
        <v>18.25022336486747</v>
      </c>
      <c r="L97" s="57">
        <f>(H97+I97+J97+K97)*$L$15</f>
        <v>11.643642506785447</v>
      </c>
      <c r="M97" s="57">
        <f>SUM(H97:L97)</f>
        <v>69.86185504071267</v>
      </c>
      <c r="N97" s="58">
        <f>M97+M97*$N$15</f>
        <v>82.43698894804095</v>
      </c>
    </row>
    <row r="98" spans="1:14" ht="14.25">
      <c r="A98" s="48"/>
      <c r="B98" s="51"/>
      <c r="C98" s="86"/>
      <c r="D98" s="86"/>
      <c r="E98" s="86"/>
      <c r="F98" s="48"/>
      <c r="G98" s="55"/>
      <c r="H98" s="56"/>
      <c r="I98" s="56"/>
      <c r="J98" s="219"/>
      <c r="K98" s="217"/>
      <c r="L98" s="50"/>
      <c r="M98" s="50"/>
      <c r="N98" s="48"/>
    </row>
    <row r="99" spans="1:14" ht="14.25">
      <c r="A99" s="48">
        <v>16</v>
      </c>
      <c r="B99" s="53" t="s">
        <v>165</v>
      </c>
      <c r="C99" s="86"/>
      <c r="D99" s="86"/>
      <c r="E99" s="86"/>
      <c r="F99" s="48"/>
      <c r="G99" s="55"/>
      <c r="H99" s="56"/>
      <c r="I99" s="56"/>
      <c r="J99" s="219"/>
      <c r="K99" s="217"/>
      <c r="L99" s="50"/>
      <c r="M99" s="50"/>
      <c r="N99" s="48"/>
    </row>
    <row r="100" spans="1:14" ht="14.25">
      <c r="A100" s="48"/>
      <c r="B100" s="51" t="s">
        <v>212</v>
      </c>
      <c r="C100" s="86"/>
      <c r="D100" s="88"/>
      <c r="E100" s="88"/>
      <c r="F100" s="58"/>
      <c r="G100" s="55"/>
      <c r="H100" s="56"/>
      <c r="I100" s="56"/>
      <c r="J100" s="219"/>
      <c r="K100" s="217"/>
      <c r="L100" s="50"/>
      <c r="M100" s="50"/>
      <c r="N100" s="48"/>
    </row>
    <row r="101" spans="1:14" ht="14.25">
      <c r="A101" s="48"/>
      <c r="B101" s="60" t="s">
        <v>166</v>
      </c>
      <c r="C101" s="86">
        <v>3.57</v>
      </c>
      <c r="D101" s="88">
        <f>($O$9*1.08*1.142*1.5*1.15)/166*C101</f>
        <v>172.95410994939758</v>
      </c>
      <c r="E101" s="88">
        <f>($O$9*1.08*1.142*0.15*1.15)/166*C101</f>
        <v>17.295410994939758</v>
      </c>
      <c r="F101" s="58"/>
      <c r="G101" s="58">
        <f>(D101+E101+F101)*$G$14</f>
        <v>65.06533616296338</v>
      </c>
      <c r="H101" s="57">
        <f>SUM(D101:G101)</f>
        <v>255.31485710730072</v>
      </c>
      <c r="I101" s="57">
        <f>H101*0.1</f>
        <v>25.531485710730074</v>
      </c>
      <c r="J101" s="218">
        <f>(D101+E101+F101)*$J$15</f>
        <v>44.13788885908627</v>
      </c>
      <c r="K101" s="218">
        <f>(D101+E101+F101)*$K$15</f>
        <v>148.39462633658314</v>
      </c>
      <c r="L101" s="57">
        <f>(H101+I101+J101+K101)*$L$15</f>
        <v>94.67577160274004</v>
      </c>
      <c r="M101" s="57">
        <f>SUM(H101:L101)</f>
        <v>568.0546296164403</v>
      </c>
      <c r="N101" s="58">
        <f>M101+M101*$N$15</f>
        <v>670.3044629473995</v>
      </c>
    </row>
    <row r="102" spans="1:14" ht="14.25">
      <c r="A102" s="48"/>
      <c r="B102" s="51"/>
      <c r="C102" s="86"/>
      <c r="D102" s="86"/>
      <c r="E102" s="86"/>
      <c r="F102" s="48"/>
      <c r="G102" s="55"/>
      <c r="H102" s="56"/>
      <c r="I102" s="56"/>
      <c r="J102" s="219"/>
      <c r="K102" s="217"/>
      <c r="L102" s="50"/>
      <c r="M102" s="50"/>
      <c r="N102" s="48"/>
    </row>
    <row r="103" spans="1:14" ht="14.25">
      <c r="A103" s="52">
        <v>17</v>
      </c>
      <c r="B103" s="80" t="s">
        <v>218</v>
      </c>
      <c r="C103" s="90"/>
      <c r="D103" s="88"/>
      <c r="E103" s="90"/>
      <c r="F103" s="52"/>
      <c r="G103" s="78"/>
      <c r="H103" s="79"/>
      <c r="I103" s="79"/>
      <c r="J103" s="222"/>
      <c r="K103" s="216"/>
      <c r="L103" s="47"/>
      <c r="M103" s="47"/>
      <c r="N103" s="52"/>
    </row>
    <row r="104" spans="1:14" ht="14.25">
      <c r="A104" s="48"/>
      <c r="B104" s="51" t="s">
        <v>212</v>
      </c>
      <c r="C104" s="86">
        <v>2.887</v>
      </c>
      <c r="D104" s="88">
        <f>($O$9*1.08*1.142*1.5*1.15)/166*C104</f>
        <v>139.86513037084336</v>
      </c>
      <c r="E104" s="88">
        <f>($O$9*1.08*1.142*0.15*1.15)/166*C104</f>
        <v>13.986513037084336</v>
      </c>
      <c r="F104" s="58"/>
      <c r="G104" s="58">
        <f>(D104+E104+F104)*$G$14</f>
        <v>52.617262045511275</v>
      </c>
      <c r="H104" s="57">
        <f>SUM(D104:G104)</f>
        <v>206.46890545343896</v>
      </c>
      <c r="I104" s="57">
        <f>H104*0.1</f>
        <v>20.646890545343897</v>
      </c>
      <c r="J104" s="218">
        <f>(D104+E104+F104)*$J$15</f>
        <v>35.69358127063923</v>
      </c>
      <c r="K104" s="218">
        <f>(D104+E104+F104)*$K$15</f>
        <v>120.0042818581836</v>
      </c>
      <c r="L104" s="57">
        <f>(H104+I104+J104+K104)*$L$15</f>
        <v>76.56273182552114</v>
      </c>
      <c r="M104" s="57">
        <f>SUM(H104:L104)</f>
        <v>459.3763909531269</v>
      </c>
      <c r="N104" s="58">
        <f>M104+M104*$N$15</f>
        <v>542.0641413246897</v>
      </c>
    </row>
    <row r="105" spans="1:14" ht="14.25">
      <c r="A105" s="52"/>
      <c r="B105" s="76"/>
      <c r="C105" s="90"/>
      <c r="D105" s="113"/>
      <c r="E105" s="113"/>
      <c r="F105" s="109"/>
      <c r="G105" s="109"/>
      <c r="H105" s="110"/>
      <c r="I105" s="110"/>
      <c r="J105" s="223"/>
      <c r="K105" s="223"/>
      <c r="L105" s="110"/>
      <c r="M105" s="110"/>
      <c r="N105" s="109"/>
    </row>
    <row r="106" spans="1:14" s="85" customFormat="1" ht="14.25">
      <c r="A106" s="90">
        <v>18</v>
      </c>
      <c r="B106" s="111" t="s">
        <v>167</v>
      </c>
      <c r="C106" s="90"/>
      <c r="D106" s="90"/>
      <c r="E106" s="90"/>
      <c r="F106" s="90"/>
      <c r="G106" s="101"/>
      <c r="H106" s="102"/>
      <c r="I106" s="102"/>
      <c r="J106" s="222"/>
      <c r="K106" s="216"/>
      <c r="L106" s="103"/>
      <c r="M106" s="103"/>
      <c r="N106" s="90"/>
    </row>
    <row r="107" spans="1:14" ht="14.25">
      <c r="A107" s="48"/>
      <c r="B107" s="51" t="s">
        <v>214</v>
      </c>
      <c r="C107" s="86">
        <f>(1.142-1.09)/10*9+1.09</f>
        <v>1.1368</v>
      </c>
      <c r="D107" s="88"/>
      <c r="E107" s="86"/>
      <c r="F107" s="48"/>
      <c r="G107" s="55"/>
      <c r="H107" s="56"/>
      <c r="I107" s="56"/>
      <c r="J107" s="219"/>
      <c r="K107" s="217"/>
      <c r="L107" s="50"/>
      <c r="M107" s="50"/>
      <c r="N107" s="48"/>
    </row>
    <row r="108" spans="1:14" ht="14.25">
      <c r="A108" s="48"/>
      <c r="B108" s="60" t="s">
        <v>264</v>
      </c>
      <c r="C108" s="86">
        <v>4.13</v>
      </c>
      <c r="D108" s="88">
        <f>($O$9*1.08*1.1368*1.5*1.15)/166*C108</f>
        <v>199.17310015518072</v>
      </c>
      <c r="E108" s="88">
        <f>($O$9*1.08*1.1368*0.15*1.15)/166*C108</f>
        <v>19.917310015518073</v>
      </c>
      <c r="F108" s="58"/>
      <c r="G108" s="58">
        <f>(D108+E108+F108)*$G$14</f>
        <v>74.928920278379</v>
      </c>
      <c r="H108" s="57">
        <f>SUM(D108:G108)</f>
        <v>294.01933044907776</v>
      </c>
      <c r="I108" s="57">
        <f>H108*0.1</f>
        <v>29.40193304490778</v>
      </c>
      <c r="J108" s="218">
        <f>(D108+E108+F108)*$J$15</f>
        <v>50.82897515960212</v>
      </c>
      <c r="K108" s="218">
        <f>(D108+E108+F108)*$K$15</f>
        <v>170.89051993314507</v>
      </c>
      <c r="L108" s="57">
        <f>(H108+I108+J108+K108)*$L$15</f>
        <v>109.02815171734656</v>
      </c>
      <c r="M108" s="57">
        <f>SUM(H108:L108)</f>
        <v>654.1689103040793</v>
      </c>
      <c r="N108" s="58">
        <f>M108+M108*$N$15</f>
        <v>771.9193141588136</v>
      </c>
    </row>
    <row r="109" spans="1:14" ht="14.25">
      <c r="A109" s="48"/>
      <c r="B109" s="60" t="s">
        <v>159</v>
      </c>
      <c r="C109" s="86">
        <v>3.55</v>
      </c>
      <c r="D109" s="88">
        <f>($O$9*1.08*1.1368*1.5*1.15)/166*C109</f>
        <v>171.20205945542168</v>
      </c>
      <c r="E109" s="88">
        <f>($O$9*1.08*1.1368*0.15*1.15)/166*C109</f>
        <v>17.120205945542168</v>
      </c>
      <c r="F109" s="58"/>
      <c r="G109" s="58">
        <f>(D109+E109+F109)*$G$14</f>
        <v>64.40621476712964</v>
      </c>
      <c r="H109" s="57">
        <f>SUM(D109:G109)</f>
        <v>252.72848016809348</v>
      </c>
      <c r="I109" s="57">
        <f>H109*0.1</f>
        <v>25.27284801680935</v>
      </c>
      <c r="J109" s="218">
        <f>(D109+E109+F109)*$J$15</f>
        <v>43.69076557302361</v>
      </c>
      <c r="K109" s="218">
        <f>(D109+E109+F109)*$K$15</f>
        <v>146.8913670127518</v>
      </c>
      <c r="L109" s="57">
        <f>(H109+I109+J109+K109)*$L$15</f>
        <v>93.71669215413566</v>
      </c>
      <c r="M109" s="57">
        <f>SUM(H109:L109)</f>
        <v>562.3001529248139</v>
      </c>
      <c r="N109" s="58">
        <f>M109+M109*$N$15</f>
        <v>663.5141804512804</v>
      </c>
    </row>
    <row r="110" spans="1:14" ht="14.25">
      <c r="A110" s="48">
        <v>19</v>
      </c>
      <c r="B110" s="53" t="s">
        <v>168</v>
      </c>
      <c r="C110" s="86"/>
      <c r="D110" s="86"/>
      <c r="E110" s="86"/>
      <c r="F110" s="48"/>
      <c r="G110" s="55"/>
      <c r="H110" s="56"/>
      <c r="I110" s="56"/>
      <c r="J110" s="219"/>
      <c r="K110" s="217"/>
      <c r="L110" s="50"/>
      <c r="M110" s="50"/>
      <c r="N110" s="48"/>
    </row>
    <row r="111" spans="1:14" ht="14.25">
      <c r="A111" s="48"/>
      <c r="B111" s="51" t="s">
        <v>6</v>
      </c>
      <c r="C111" s="86"/>
      <c r="D111" s="86"/>
      <c r="E111" s="86"/>
      <c r="F111" s="48"/>
      <c r="G111" s="55"/>
      <c r="H111" s="56"/>
      <c r="I111" s="56"/>
      <c r="J111" s="219"/>
      <c r="K111" s="217"/>
      <c r="L111" s="50"/>
      <c r="M111" s="50"/>
      <c r="N111" s="48"/>
    </row>
    <row r="112" spans="1:14" ht="14.25">
      <c r="A112" s="48"/>
      <c r="B112" s="51" t="s">
        <v>169</v>
      </c>
      <c r="C112" s="86"/>
      <c r="D112" s="86"/>
      <c r="E112" s="86"/>
      <c r="F112" s="48"/>
      <c r="G112" s="55"/>
      <c r="H112" s="56"/>
      <c r="I112" s="56"/>
      <c r="J112" s="219"/>
      <c r="K112" s="217"/>
      <c r="L112" s="50"/>
      <c r="M112" s="50"/>
      <c r="N112" s="48"/>
    </row>
    <row r="113" spans="1:14" ht="14.25">
      <c r="A113" s="48"/>
      <c r="B113" s="60" t="s">
        <v>170</v>
      </c>
      <c r="C113" s="86">
        <v>0.72</v>
      </c>
      <c r="D113" s="88">
        <f>($O$9*1.08*1.09*1.5*1.15)/166*C113</f>
        <v>33.293201638554216</v>
      </c>
      <c r="E113" s="88">
        <f>($O$9*1.08*1.09*0.15*1.15)/166*C113</f>
        <v>3.3293201638554217</v>
      </c>
      <c r="F113" s="58"/>
      <c r="G113" s="58">
        <f>(D113+E113+F113)*$G$14</f>
        <v>12.524902456424096</v>
      </c>
      <c r="H113" s="57">
        <f>SUM(D113:G113)</f>
        <v>49.14742425883373</v>
      </c>
      <c r="I113" s="57">
        <f>H113*0.1</f>
        <v>4.914742425883373</v>
      </c>
      <c r="J113" s="218">
        <f>(D113+E113+F113)*$J$15</f>
        <v>8.496425058159035</v>
      </c>
      <c r="K113" s="218">
        <f>(D113+E113+F113)*$K$15</f>
        <v>28.56556700587952</v>
      </c>
      <c r="L113" s="57">
        <f>(H113+I113+J113+K113)*$L$15</f>
        <v>18.224831749751132</v>
      </c>
      <c r="M113" s="57">
        <f>SUM(H113:L113)</f>
        <v>109.3489904985068</v>
      </c>
      <c r="N113" s="58">
        <f>M113+M113*$N$15</f>
        <v>129.031808788238</v>
      </c>
    </row>
    <row r="114" spans="1:14" ht="14.25">
      <c r="A114" s="48"/>
      <c r="B114" s="60" t="s">
        <v>171</v>
      </c>
      <c r="C114" s="86">
        <v>0.53</v>
      </c>
      <c r="D114" s="88">
        <f>($O$9*1.08*1.09*1.5*1.15)/166*C114</f>
        <v>24.50749565060241</v>
      </c>
      <c r="E114" s="88">
        <f>($O$9*1.08*1.09*0.15*1.15)/166*C114</f>
        <v>2.4507495650602413</v>
      </c>
      <c r="F114" s="58"/>
      <c r="G114" s="58">
        <f>(D114+E114+F114)*$G$14</f>
        <v>9.219719863756628</v>
      </c>
      <c r="H114" s="57">
        <f>SUM(D114:G114)</f>
        <v>36.17796507941928</v>
      </c>
      <c r="I114" s="57">
        <f>H114*0.1</f>
        <v>3.6177965079419283</v>
      </c>
      <c r="J114" s="218">
        <f>(D114+E114+F114)*$J$15</f>
        <v>6.254312890033736</v>
      </c>
      <c r="K114" s="218">
        <f>(D114+E114+F114)*$K$15</f>
        <v>21.02743126821687</v>
      </c>
      <c r="L114" s="57">
        <f>(H114+I114+J114+K114)*$L$15</f>
        <v>13.415501149122363</v>
      </c>
      <c r="M114" s="57">
        <f>SUM(H114:L114)</f>
        <v>80.49300689473418</v>
      </c>
      <c r="N114" s="58">
        <f>M114+M114*$N$15</f>
        <v>94.98174813578633</v>
      </c>
    </row>
    <row r="115" spans="1:14" s="85" customFormat="1" ht="14.25">
      <c r="A115" s="86">
        <v>20</v>
      </c>
      <c r="B115" s="91" t="s">
        <v>219</v>
      </c>
      <c r="C115" s="86"/>
      <c r="D115" s="88"/>
      <c r="E115" s="88"/>
      <c r="F115" s="88"/>
      <c r="G115" s="88"/>
      <c r="H115" s="89"/>
      <c r="I115" s="89"/>
      <c r="J115" s="218"/>
      <c r="K115" s="218"/>
      <c r="L115" s="89"/>
      <c r="M115" s="89"/>
      <c r="N115" s="88"/>
    </row>
    <row r="116" spans="1:14" ht="14.25">
      <c r="A116" s="48"/>
      <c r="B116" s="51" t="s">
        <v>203</v>
      </c>
      <c r="C116" s="86">
        <v>0.6</v>
      </c>
      <c r="D116" s="88">
        <f>($O$9*1.08*1.09*1.5*1.15)/166*C116</f>
        <v>27.744334698795182</v>
      </c>
      <c r="E116" s="88">
        <f>($O$9*1.08*1.09*0.15*1.15)/166*C116</f>
        <v>2.774433469879518</v>
      </c>
      <c r="F116" s="58"/>
      <c r="G116" s="58">
        <f>(D116+E116+F116)*$G$14</f>
        <v>10.437418713686748</v>
      </c>
      <c r="H116" s="57">
        <f>SUM(D116:G116)</f>
        <v>40.95618688236145</v>
      </c>
      <c r="I116" s="57">
        <f>H116*0.1</f>
        <v>4.095618688236145</v>
      </c>
      <c r="J116" s="218">
        <f>(D116+E116+F116)*$J$15</f>
        <v>7.080354215132531</v>
      </c>
      <c r="K116" s="218">
        <f>(D116+E116+F116)*$K$15</f>
        <v>23.80463917156627</v>
      </c>
      <c r="L116" s="57">
        <f>(H116+I116+J116+K116)*$L$15</f>
        <v>15.18735979145928</v>
      </c>
      <c r="M116" s="57">
        <f>SUM(H116:L116)</f>
        <v>91.12415874875566</v>
      </c>
      <c r="N116" s="58">
        <f>M116+M116*$N$15</f>
        <v>107.52650732353167</v>
      </c>
    </row>
    <row r="117" spans="1:14" ht="14.25">
      <c r="A117" s="48"/>
      <c r="B117" s="51"/>
      <c r="C117" s="86"/>
      <c r="D117" s="86"/>
      <c r="E117" s="86"/>
      <c r="F117" s="48"/>
      <c r="G117" s="55"/>
      <c r="H117" s="56"/>
      <c r="I117" s="56"/>
      <c r="J117" s="219"/>
      <c r="K117" s="217"/>
      <c r="L117" s="50"/>
      <c r="M117" s="50"/>
      <c r="N117" s="48"/>
    </row>
    <row r="118" spans="1:14" s="85" customFormat="1" ht="14.25">
      <c r="A118" s="86">
        <v>21</v>
      </c>
      <c r="B118" s="91" t="s">
        <v>183</v>
      </c>
      <c r="C118" s="86"/>
      <c r="D118" s="88"/>
      <c r="E118" s="88"/>
      <c r="F118" s="88"/>
      <c r="G118" s="88"/>
      <c r="H118" s="89"/>
      <c r="I118" s="89"/>
      <c r="J118" s="218"/>
      <c r="K118" s="218"/>
      <c r="L118" s="89"/>
      <c r="M118" s="89"/>
      <c r="N118" s="88"/>
    </row>
    <row r="119" spans="1:14" ht="14.25">
      <c r="A119" s="48"/>
      <c r="B119" s="51" t="s">
        <v>207</v>
      </c>
      <c r="C119" s="86">
        <v>1.28</v>
      </c>
      <c r="D119" s="88">
        <f>($O$9*1.08*1.116*1.5*1.15)/166*C119</f>
        <v>60.599735826506034</v>
      </c>
      <c r="E119" s="88">
        <f>($O$9*1.08*1.116*0.15*1.15)/166*C119</f>
        <v>6.059973582650603</v>
      </c>
      <c r="F119" s="58"/>
      <c r="G119" s="58">
        <f>(D119+E119+F119)*$G$14</f>
        <v>22.79762061793157</v>
      </c>
      <c r="H119" s="57">
        <f>SUM(D119:G119)</f>
        <v>89.4573300270882</v>
      </c>
      <c r="I119" s="57">
        <f>H119*0.1</f>
        <v>8.94573300270882</v>
      </c>
      <c r="J119" s="218">
        <f>(D119+E119+F119)*$J$15</f>
        <v>15.46505258292434</v>
      </c>
      <c r="K119" s="218">
        <f>(D119+E119+F119)*$K$15</f>
        <v>51.99457333914218</v>
      </c>
      <c r="L119" s="57">
        <f>(H119+I119+J119+K119)*$L$15</f>
        <v>33.172537790372715</v>
      </c>
      <c r="M119" s="57">
        <f>SUM(H119:L119)</f>
        <v>199.03522674223626</v>
      </c>
      <c r="N119" s="58">
        <f>M119+M119*$N$15</f>
        <v>234.8615675558388</v>
      </c>
    </row>
    <row r="120" spans="1:14" ht="14.25">
      <c r="A120" s="48"/>
      <c r="B120" s="51"/>
      <c r="C120" s="86"/>
      <c r="D120" s="86"/>
      <c r="E120" s="86"/>
      <c r="F120" s="48"/>
      <c r="G120" s="55"/>
      <c r="H120" s="56"/>
      <c r="I120" s="56"/>
      <c r="J120" s="219"/>
      <c r="K120" s="217"/>
      <c r="L120" s="50"/>
      <c r="M120" s="50"/>
      <c r="N120" s="48"/>
    </row>
    <row r="121" spans="1:14" s="85" customFormat="1" ht="14.25">
      <c r="A121" s="86">
        <v>22</v>
      </c>
      <c r="B121" s="91" t="s">
        <v>147</v>
      </c>
      <c r="C121" s="86"/>
      <c r="D121" s="86"/>
      <c r="E121" s="86"/>
      <c r="F121" s="86"/>
      <c r="G121" s="93"/>
      <c r="H121" s="94"/>
      <c r="I121" s="94"/>
      <c r="J121" s="219"/>
      <c r="K121" s="217"/>
      <c r="L121" s="92"/>
      <c r="M121" s="92"/>
      <c r="N121" s="86"/>
    </row>
    <row r="122" spans="1:14" ht="14.25">
      <c r="A122" s="48"/>
      <c r="B122" s="53" t="s">
        <v>148</v>
      </c>
      <c r="C122" s="86"/>
      <c r="D122" s="88"/>
      <c r="E122" s="88"/>
      <c r="F122" s="58"/>
      <c r="G122" s="58"/>
      <c r="H122" s="57"/>
      <c r="I122" s="57"/>
      <c r="J122" s="218"/>
      <c r="K122" s="218"/>
      <c r="L122" s="57"/>
      <c r="M122" s="57"/>
      <c r="N122" s="58"/>
    </row>
    <row r="123" spans="1:14" ht="14.25">
      <c r="A123" s="48"/>
      <c r="B123" s="51" t="s">
        <v>207</v>
      </c>
      <c r="C123" s="86">
        <v>1.16</v>
      </c>
      <c r="D123" s="88">
        <f>($O$9*1.08*1.116*1.5*1.15)/166*C123</f>
        <v>54.918510592771085</v>
      </c>
      <c r="E123" s="88">
        <f>($O$9*1.08*1.116*0.15*1.15)/166*C123</f>
        <v>5.491851059277108</v>
      </c>
      <c r="F123" s="58"/>
      <c r="G123" s="58">
        <f>(D123+E123+F123)*$G$14</f>
        <v>20.660343685000484</v>
      </c>
      <c r="H123" s="57">
        <f>SUM(D123:G123)</f>
        <v>81.07070533704868</v>
      </c>
      <c r="I123" s="57">
        <f>H123*0.1</f>
        <v>8.107070533704869</v>
      </c>
      <c r="J123" s="218">
        <f>(D123+E123+F123)*$J$15</f>
        <v>14.015203903275182</v>
      </c>
      <c r="K123" s="218">
        <f>(D123+E123+F123)*$K$15</f>
        <v>47.12008208859759</v>
      </c>
      <c r="L123" s="57">
        <f>(H123+I123+J123+K123)*$L$15</f>
        <v>30.062612372525265</v>
      </c>
      <c r="M123" s="57">
        <f>SUM(H123:L123)</f>
        <v>180.37567423515156</v>
      </c>
      <c r="N123" s="58">
        <f>M123+M123*$N$15</f>
        <v>212.84329559747886</v>
      </c>
    </row>
    <row r="124" spans="1:14" ht="14.25">
      <c r="A124" s="48"/>
      <c r="B124" s="51"/>
      <c r="C124" s="86"/>
      <c r="D124" s="86"/>
      <c r="E124" s="86"/>
      <c r="F124" s="48"/>
      <c r="G124" s="55"/>
      <c r="H124" s="56"/>
      <c r="I124" s="56"/>
      <c r="J124" s="219"/>
      <c r="K124" s="217"/>
      <c r="L124" s="50"/>
      <c r="M124" s="50"/>
      <c r="N124" s="48"/>
    </row>
    <row r="125" spans="1:14" s="85" customFormat="1" ht="14.25">
      <c r="A125" s="86">
        <v>23</v>
      </c>
      <c r="B125" s="91" t="s">
        <v>184</v>
      </c>
      <c r="C125" s="88"/>
      <c r="D125" s="88"/>
      <c r="E125" s="88"/>
      <c r="F125" s="88"/>
      <c r="G125" s="88"/>
      <c r="H125" s="89"/>
      <c r="I125" s="89"/>
      <c r="J125" s="218"/>
      <c r="K125" s="218"/>
      <c r="L125" s="89"/>
      <c r="M125" s="89"/>
      <c r="N125" s="88"/>
    </row>
    <row r="126" spans="1:14" ht="14.25">
      <c r="A126" s="48"/>
      <c r="B126" s="51" t="s">
        <v>213</v>
      </c>
      <c r="C126" s="293">
        <v>0.524</v>
      </c>
      <c r="D126" s="88">
        <f>($O$9*1.08*1.1108*1.5*1.15)/166*C126</f>
        <v>24.692423943903613</v>
      </c>
      <c r="E126" s="88">
        <f>($O$9*1.08*1.1108*0.15*1.15)/166*C126</f>
        <v>2.469242394390361</v>
      </c>
      <c r="F126" s="58"/>
      <c r="G126" s="58">
        <f>(D126+E126+F126)*$G$14</f>
        <v>9.289289887696539</v>
      </c>
      <c r="H126" s="57">
        <f>SUM(D126:G126)</f>
        <v>36.45095622599051</v>
      </c>
      <c r="I126" s="57">
        <f>H126*0.1</f>
        <v>3.645095622599051</v>
      </c>
      <c r="J126" s="218">
        <f>(D126+E126+F126)*$J$15</f>
        <v>6.301506590484202</v>
      </c>
      <c r="K126" s="218">
        <f>(D126+E126+F126)*$K$15</f>
        <v>21.1860997438693</v>
      </c>
      <c r="L126" s="57">
        <f>(H126+I126+J126+K126)*$L$15</f>
        <v>13.516731636588611</v>
      </c>
      <c r="M126" s="57">
        <f>SUM(H126:L126)</f>
        <v>81.10038981953167</v>
      </c>
      <c r="N126" s="58">
        <f>M126+M126*$N$15</f>
        <v>95.69845998704737</v>
      </c>
    </row>
    <row r="127" spans="1:14" ht="14.25">
      <c r="A127" s="48"/>
      <c r="B127" s="51"/>
      <c r="C127" s="86"/>
      <c r="D127" s="88"/>
      <c r="E127" s="88"/>
      <c r="F127" s="58"/>
      <c r="G127" s="55"/>
      <c r="H127" s="56"/>
      <c r="I127" s="56"/>
      <c r="J127" s="219"/>
      <c r="K127" s="218"/>
      <c r="L127" s="57"/>
      <c r="M127" s="57"/>
      <c r="N127" s="58"/>
    </row>
    <row r="128" spans="1:14" ht="14.25">
      <c r="A128" s="52">
        <v>24</v>
      </c>
      <c r="B128" s="53" t="s">
        <v>216</v>
      </c>
      <c r="C128" s="86"/>
      <c r="D128" s="86"/>
      <c r="E128" s="86"/>
      <c r="F128" s="48"/>
      <c r="G128" s="48"/>
      <c r="H128" s="50"/>
      <c r="I128" s="50"/>
      <c r="J128" s="217"/>
      <c r="K128" s="217"/>
      <c r="L128" s="50"/>
      <c r="M128" s="50"/>
      <c r="N128" s="48"/>
    </row>
    <row r="129" spans="1:14" ht="14.25">
      <c r="A129" s="48"/>
      <c r="B129" s="51" t="s">
        <v>207</v>
      </c>
      <c r="C129" s="293">
        <v>1.397</v>
      </c>
      <c r="D129" s="88">
        <f>($O$9*1.08*1.116*1.5*1.15)/O10*C129</f>
        <v>66.2986863</v>
      </c>
      <c r="E129" s="88">
        <f>($O$9*1.08*1.116*0.15*1.15)/166*C129</f>
        <v>6.613893042939759</v>
      </c>
      <c r="F129" s="58"/>
      <c r="G129" s="58">
        <f>(D129+E129+F129)*$G$14</f>
        <v>24.936102135285402</v>
      </c>
      <c r="H129" s="57">
        <f>SUM(D129:G129)</f>
        <v>97.84868147822516</v>
      </c>
      <c r="I129" s="57">
        <f>H129*0.1</f>
        <v>9.784868147822516</v>
      </c>
      <c r="J129" s="218">
        <f>(D129+E129+F129)*$J$15</f>
        <v>16.915718407562025</v>
      </c>
      <c r="K129" s="218">
        <f>(D129+E129+F129)*$K$15</f>
        <v>56.87181188749302</v>
      </c>
      <c r="L129" s="57">
        <f>(H129+I129+J129+K129)*$L$15</f>
        <v>36.284215984220545</v>
      </c>
      <c r="M129" s="57">
        <f>SUM(H129:L129)</f>
        <v>217.70529590532325</v>
      </c>
      <c r="N129" s="58">
        <f>M129+M129*$N$15</f>
        <v>256.8922491682814</v>
      </c>
    </row>
    <row r="130" spans="1:14" ht="14.25">
      <c r="A130" s="48"/>
      <c r="B130" s="51"/>
      <c r="C130" s="86"/>
      <c r="D130" s="88"/>
      <c r="E130" s="88"/>
      <c r="F130" s="58"/>
      <c r="G130" s="58"/>
      <c r="H130" s="57"/>
      <c r="I130" s="57"/>
      <c r="J130" s="218"/>
      <c r="K130" s="218"/>
      <c r="L130" s="57"/>
      <c r="M130" s="57"/>
      <c r="N130" s="58"/>
    </row>
    <row r="131" spans="1:14" ht="14.25">
      <c r="A131" s="48">
        <v>25</v>
      </c>
      <c r="B131" s="53" t="s">
        <v>198</v>
      </c>
      <c r="C131" s="86"/>
      <c r="D131" s="86"/>
      <c r="E131" s="86"/>
      <c r="F131" s="48"/>
      <c r="G131" s="58"/>
      <c r="H131" s="57"/>
      <c r="I131" s="57"/>
      <c r="J131" s="218"/>
      <c r="K131" s="217"/>
      <c r="L131" s="50"/>
      <c r="M131" s="50"/>
      <c r="N131" s="48"/>
    </row>
    <row r="132" spans="1:14" ht="14.25">
      <c r="A132" s="48"/>
      <c r="B132" s="51" t="s">
        <v>203</v>
      </c>
      <c r="C132" s="86">
        <v>0.478</v>
      </c>
      <c r="D132" s="88">
        <f>($O$9*1.08*1.09*1.5*1.15)/O10*C132</f>
        <v>22.156375500000003</v>
      </c>
      <c r="E132" s="88">
        <f>($O$9*1.08*1.09*0.15*1.15)/166*C132</f>
        <v>2.2102986643373495</v>
      </c>
      <c r="F132" s="58"/>
      <c r="G132" s="58">
        <f>(D132+E132+F132)*$G$14</f>
        <v>8.333402564203375</v>
      </c>
      <c r="H132" s="57">
        <f>SUM(D132:G132)</f>
        <v>32.70007672854073</v>
      </c>
      <c r="I132" s="57">
        <f>H132*0.1</f>
        <v>3.270007672854073</v>
      </c>
      <c r="J132" s="218">
        <f>(D132+E132+F132)*$J$15</f>
        <v>5.653068406126266</v>
      </c>
      <c r="K132" s="218">
        <f>(D132+E132+F132)*$K$15</f>
        <v>19.006005848183136</v>
      </c>
      <c r="L132" s="57">
        <f>(H132+I132+J132+K132)*$L$15</f>
        <v>12.125831731140842</v>
      </c>
      <c r="M132" s="57">
        <f>SUM(H132:L132)</f>
        <v>72.75499038684504</v>
      </c>
      <c r="N132" s="58">
        <f>M132+M132*$N$15</f>
        <v>85.85088865647714</v>
      </c>
    </row>
    <row r="133" spans="1:14" ht="14.25">
      <c r="A133" s="61"/>
      <c r="B133" s="62"/>
      <c r="C133" s="96"/>
      <c r="D133" s="98"/>
      <c r="E133" s="98"/>
      <c r="F133" s="68"/>
      <c r="G133" s="68"/>
      <c r="H133" s="67"/>
      <c r="I133" s="67"/>
      <c r="J133" s="221"/>
      <c r="K133" s="221"/>
      <c r="L133" s="67"/>
      <c r="M133" s="67"/>
      <c r="N133" s="68"/>
    </row>
    <row r="134" spans="1:14" ht="14.25">
      <c r="A134" s="61">
        <v>26</v>
      </c>
      <c r="B134" s="370" t="s">
        <v>435</v>
      </c>
      <c r="C134" s="96"/>
      <c r="D134" s="98"/>
      <c r="E134" s="98"/>
      <c r="F134" s="68"/>
      <c r="G134" s="68"/>
      <c r="H134" s="67"/>
      <c r="I134" s="67"/>
      <c r="J134" s="221"/>
      <c r="K134" s="221"/>
      <c r="L134" s="67"/>
      <c r="M134" s="67"/>
      <c r="N134" s="68"/>
    </row>
    <row r="135" spans="1:14" ht="14.25">
      <c r="A135" s="61"/>
      <c r="B135" s="51" t="s">
        <v>203</v>
      </c>
      <c r="C135" s="86">
        <v>2.05</v>
      </c>
      <c r="D135" s="88">
        <f>($O$9*1.08*1.09*1.5*1.15)/O10*C135</f>
        <v>95.0221125</v>
      </c>
      <c r="E135" s="88">
        <f>($O$9*1.08*1.09*0.15*1.15)/166*C135</f>
        <v>9.479314355421687</v>
      </c>
      <c r="F135" s="58"/>
      <c r="G135" s="58">
        <f>(D135+E135+F135)*$G$14</f>
        <v>35.73948798455422</v>
      </c>
      <c r="H135" s="57">
        <f>SUM(D135:G135)</f>
        <v>140.24091483997591</v>
      </c>
      <c r="I135" s="57">
        <f>H135*0.1</f>
        <v>14.024091483997593</v>
      </c>
      <c r="J135" s="218">
        <f>(D135+E135+F135)*$J$15</f>
        <v>24.244331030457836</v>
      </c>
      <c r="K135" s="218">
        <f>(D135+E135+F135)*$K$15</f>
        <v>81.51111294722892</v>
      </c>
      <c r="L135" s="57">
        <f>(H135+I135+J135+K135)*$L$15</f>
        <v>52.00409006033206</v>
      </c>
      <c r="M135" s="57">
        <f>SUM(H135:L135)</f>
        <v>312.0245403619923</v>
      </c>
      <c r="N135" s="58">
        <f>M135+M135*$N$15</f>
        <v>368.1889576271509</v>
      </c>
    </row>
    <row r="136" spans="1:14" ht="14.25">
      <c r="A136" s="61"/>
      <c r="B136" s="62"/>
      <c r="C136" s="96"/>
      <c r="D136" s="98"/>
      <c r="E136" s="98"/>
      <c r="F136" s="68"/>
      <c r="G136" s="68"/>
      <c r="H136" s="67"/>
      <c r="I136" s="67"/>
      <c r="J136" s="221"/>
      <c r="K136" s="221"/>
      <c r="L136" s="67"/>
      <c r="M136" s="67"/>
      <c r="N136" s="68"/>
    </row>
    <row r="137" spans="1:14" ht="14.25">
      <c r="A137" s="61">
        <v>27</v>
      </c>
      <c r="B137" s="370" t="s">
        <v>436</v>
      </c>
      <c r="C137" s="96"/>
      <c r="D137" s="98"/>
      <c r="E137" s="98"/>
      <c r="F137" s="68"/>
      <c r="G137" s="68"/>
      <c r="H137" s="67"/>
      <c r="I137" s="67"/>
      <c r="J137" s="221"/>
      <c r="K137" s="221"/>
      <c r="L137" s="67"/>
      <c r="M137" s="67"/>
      <c r="N137" s="68"/>
    </row>
    <row r="138" spans="1:14" ht="14.25">
      <c r="A138" s="61"/>
      <c r="B138" s="51" t="s">
        <v>203</v>
      </c>
      <c r="C138" s="86">
        <v>2.75</v>
      </c>
      <c r="D138" s="88">
        <f>($O$9*1.08*1.09*1.5*1.15)/O10*C138</f>
        <v>127.46868750000002</v>
      </c>
      <c r="E138" s="88">
        <f>($O$9*1.08*1.09*0.15*1.15)/166*C138</f>
        <v>12.71615340361446</v>
      </c>
      <c r="F138" s="58"/>
      <c r="G138" s="58">
        <f>(D138+E138+F138)*$G$14</f>
        <v>47.94321558903616</v>
      </c>
      <c r="H138" s="57">
        <f>SUM(D138:G138)</f>
        <v>188.12805649265064</v>
      </c>
      <c r="I138" s="57">
        <f>H138*0.1</f>
        <v>18.812805649265066</v>
      </c>
      <c r="J138" s="218">
        <f>(D138+E138+F138)*$J$15</f>
        <v>32.52288308963856</v>
      </c>
      <c r="K138" s="218">
        <f>(D138+E138+F138)*$K$15</f>
        <v>109.34417590481931</v>
      </c>
      <c r="L138" s="57">
        <f>(H138+I138+J138+K138)*$L$15</f>
        <v>69.76158422727472</v>
      </c>
      <c r="M138" s="57">
        <f>SUM(H138:L138)</f>
        <v>418.5695053636483</v>
      </c>
      <c r="N138" s="58">
        <f>M138+M138*$N$15</f>
        <v>493.91201632910503</v>
      </c>
    </row>
    <row r="139" spans="1:14" ht="14.25">
      <c r="A139" s="61"/>
      <c r="B139" s="62"/>
      <c r="C139" s="96"/>
      <c r="D139" s="98"/>
      <c r="E139" s="98"/>
      <c r="F139" s="68"/>
      <c r="G139" s="68"/>
      <c r="H139" s="67"/>
      <c r="I139" s="67"/>
      <c r="J139" s="221"/>
      <c r="K139" s="221"/>
      <c r="L139" s="67"/>
      <c r="M139" s="67"/>
      <c r="N139" s="68"/>
    </row>
    <row r="140" spans="1:14" ht="14.25">
      <c r="A140" s="61">
        <v>28</v>
      </c>
      <c r="B140" s="63" t="s">
        <v>149</v>
      </c>
      <c r="C140" s="96"/>
      <c r="D140" s="98"/>
      <c r="E140" s="98"/>
      <c r="F140" s="68"/>
      <c r="G140" s="68"/>
      <c r="H140" s="67"/>
      <c r="I140" s="67"/>
      <c r="J140" s="221"/>
      <c r="K140" s="221"/>
      <c r="L140" s="67"/>
      <c r="M140" s="67"/>
      <c r="N140" s="68"/>
    </row>
    <row r="141" spans="1:14" ht="14.25">
      <c r="A141" s="48"/>
      <c r="B141" s="51" t="s">
        <v>217</v>
      </c>
      <c r="C141" s="293">
        <v>1</v>
      </c>
      <c r="D141" s="88">
        <f>($O$9*1.08*1.1316*1.5*1.15)/O10*C141</f>
        <v>48.121289999999995</v>
      </c>
      <c r="E141" s="88">
        <f>($O$9*1.08*1.1316*0.15*1.15)/166*C141</f>
        <v>4.800533508433734</v>
      </c>
      <c r="F141" s="58"/>
      <c r="G141" s="58">
        <f>(D141+E141+F141)*$G$14</f>
        <v>18.099263639884338</v>
      </c>
      <c r="H141" s="57">
        <f>SUM(D141:G141)</f>
        <v>71.02108714831807</v>
      </c>
      <c r="I141" s="57">
        <f>H141*0.1</f>
        <v>7.102108714831807</v>
      </c>
      <c r="J141" s="218">
        <f>(D141+E141+F141)*$J$15</f>
        <v>12.277863053956626</v>
      </c>
      <c r="K141" s="218">
        <f>(D141+E141+F141)*$K$15</f>
        <v>41.279022336578315</v>
      </c>
      <c r="L141" s="57">
        <f>(H141+I141+J141+K141)*$L$15</f>
        <v>26.336016250736964</v>
      </c>
      <c r="M141" s="57">
        <f>SUM(H141:L141)</f>
        <v>158.0160975044218</v>
      </c>
      <c r="N141" s="58">
        <f>M141+M141*$N$15</f>
        <v>186.4589950552177</v>
      </c>
    </row>
    <row r="142" spans="1:14" ht="14.25">
      <c r="A142" s="61"/>
      <c r="B142" s="62"/>
      <c r="C142" s="96"/>
      <c r="D142" s="96"/>
      <c r="E142" s="96"/>
      <c r="F142" s="61"/>
      <c r="G142" s="55"/>
      <c r="H142" s="56"/>
      <c r="I142" s="56"/>
      <c r="J142" s="219"/>
      <c r="K142" s="217"/>
      <c r="L142" s="50"/>
      <c r="M142" s="50"/>
      <c r="N142" s="48"/>
    </row>
    <row r="143" spans="1:14" s="85" customFormat="1" ht="14.25">
      <c r="A143" s="96">
        <v>29</v>
      </c>
      <c r="B143" s="97" t="s">
        <v>254</v>
      </c>
      <c r="C143" s="96"/>
      <c r="D143" s="96"/>
      <c r="E143" s="96"/>
      <c r="F143" s="96"/>
      <c r="G143" s="104"/>
      <c r="H143" s="105"/>
      <c r="I143" s="105"/>
      <c r="J143" s="220"/>
      <c r="K143" s="221"/>
      <c r="L143" s="106"/>
      <c r="M143" s="106"/>
      <c r="N143" s="98"/>
    </row>
    <row r="144" spans="1:14" ht="14.25">
      <c r="A144" s="48"/>
      <c r="B144" s="51" t="s">
        <v>207</v>
      </c>
      <c r="C144" s="86"/>
      <c r="D144" s="88"/>
      <c r="E144" s="88"/>
      <c r="F144" s="58"/>
      <c r="G144" s="58"/>
      <c r="H144" s="58"/>
      <c r="I144" s="58"/>
      <c r="J144" s="224"/>
      <c r="K144" s="224"/>
      <c r="L144" s="58"/>
      <c r="M144" s="57"/>
      <c r="N144" s="58"/>
    </row>
    <row r="145" spans="1:14" s="85" customFormat="1" ht="14.25">
      <c r="A145" s="86"/>
      <c r="B145" s="87" t="s">
        <v>145</v>
      </c>
      <c r="C145" s="86">
        <v>1.05</v>
      </c>
      <c r="D145" s="88">
        <f>($O$9*1.08*1.116*1.5*1.15)/O10*C145</f>
        <v>49.830795</v>
      </c>
      <c r="E145" s="88">
        <f>($O$9*1.08*1.116*0.15*1.15)/166*C145</f>
        <v>4.9710720795180725</v>
      </c>
      <c r="F145" s="58"/>
      <c r="G145" s="58">
        <f>(D145+E145+F145)*$G$14</f>
        <v>18.74223854119518</v>
      </c>
      <c r="H145" s="57">
        <f>SUM(D145:G145)</f>
        <v>73.54410562071325</v>
      </c>
      <c r="I145" s="57">
        <f>H145*0.1</f>
        <v>7.354410562071326</v>
      </c>
      <c r="J145" s="218">
        <f>(D145+E145+F145)*$J$15</f>
        <v>12.714033162448194</v>
      </c>
      <c r="K145" s="218">
        <f>(D145+E145+F145)*$K$15</f>
        <v>42.7454563220241</v>
      </c>
      <c r="L145" s="57">
        <f>(H145+I145+J145+K145)*$L$15</f>
        <v>27.271601133451373</v>
      </c>
      <c r="M145" s="57">
        <f>SUM(H145:L145)</f>
        <v>163.62960680070825</v>
      </c>
      <c r="N145" s="58">
        <f>M145+M145*$N$15</f>
        <v>193.08293602483573</v>
      </c>
    </row>
    <row r="146" spans="1:14" s="85" customFormat="1" ht="14.25">
      <c r="A146" s="86"/>
      <c r="B146" s="87" t="s">
        <v>146</v>
      </c>
      <c r="C146" s="86">
        <v>1.34</v>
      </c>
      <c r="D146" s="88">
        <f>($O$9*1.08*1.116*1.5*1.15)/O10*C146</f>
        <v>63.59358600000001</v>
      </c>
      <c r="E146" s="88">
        <f>($O$9*1.08*1.116*0.15*1.15)/166*C146</f>
        <v>6.34403484433735</v>
      </c>
      <c r="F146" s="58"/>
      <c r="G146" s="58">
        <f>(D146+E146+F146)*$G$14</f>
        <v>23.91866632876338</v>
      </c>
      <c r="H146" s="57">
        <f>SUM(D146:G146)</f>
        <v>93.85628717310074</v>
      </c>
      <c r="I146" s="57">
        <f>H146*0.1</f>
        <v>9.385628717310075</v>
      </c>
      <c r="J146" s="218">
        <f>(D146+E146+F146)*$J$15</f>
        <v>16.225528035886267</v>
      </c>
      <c r="K146" s="218">
        <f>(D146+E146+F146)*$K$15</f>
        <v>54.55134425858314</v>
      </c>
      <c r="L146" s="57">
        <f>(H146+I146+J146+K146)*$L$15</f>
        <v>34.80375763697605</v>
      </c>
      <c r="M146" s="57">
        <f>SUM(H146:L146)</f>
        <v>208.8225458218563</v>
      </c>
      <c r="N146" s="58">
        <f>M146+M146*$N$15</f>
        <v>246.41060406979042</v>
      </c>
    </row>
    <row r="147" spans="1:14" ht="14.25">
      <c r="A147" s="48"/>
      <c r="B147" s="51"/>
      <c r="C147" s="86"/>
      <c r="D147" s="88"/>
      <c r="E147" s="88"/>
      <c r="F147" s="58"/>
      <c r="G147" s="58"/>
      <c r="H147" s="57"/>
      <c r="I147" s="57"/>
      <c r="J147" s="218"/>
      <c r="K147" s="218"/>
      <c r="L147" s="57"/>
      <c r="M147" s="57"/>
      <c r="N147" s="58"/>
    </row>
    <row r="148" spans="1:14" ht="14.25">
      <c r="A148" s="107" t="s">
        <v>181</v>
      </c>
      <c r="B148" s="108" t="s">
        <v>195</v>
      </c>
      <c r="C148" s="99"/>
      <c r="D148" s="99"/>
      <c r="E148" s="99"/>
      <c r="F148" s="8"/>
      <c r="G148" s="78"/>
      <c r="H148" s="79"/>
      <c r="I148" s="79"/>
      <c r="J148" s="222"/>
      <c r="K148" s="216"/>
      <c r="L148" s="47"/>
      <c r="M148" s="47"/>
      <c r="N148" s="52"/>
    </row>
    <row r="149" spans="1:14" ht="14.25">
      <c r="A149" s="61"/>
      <c r="B149" s="62"/>
      <c r="C149" s="96"/>
      <c r="D149" s="96"/>
      <c r="E149" s="96"/>
      <c r="F149" s="61"/>
      <c r="G149" s="55"/>
      <c r="H149" s="56"/>
      <c r="I149" s="56"/>
      <c r="J149" s="219"/>
      <c r="K149" s="217"/>
      <c r="L149" s="50"/>
      <c r="M149" s="50"/>
      <c r="N149" s="48"/>
    </row>
    <row r="150" spans="1:14" ht="14.25">
      <c r="A150" s="61">
        <v>1</v>
      </c>
      <c r="B150" s="63" t="s">
        <v>28</v>
      </c>
      <c r="C150" s="96"/>
      <c r="D150" s="96"/>
      <c r="E150" s="96"/>
      <c r="F150" s="61"/>
      <c r="G150" s="55"/>
      <c r="H150" s="56"/>
      <c r="I150" s="56"/>
      <c r="J150" s="219"/>
      <c r="K150" s="217"/>
      <c r="L150" s="50"/>
      <c r="M150" s="50"/>
      <c r="N150" s="48"/>
    </row>
    <row r="151" spans="1:14" ht="14.25">
      <c r="A151" s="61"/>
      <c r="B151" s="63" t="s">
        <v>265</v>
      </c>
      <c r="C151" s="96"/>
      <c r="D151" s="96"/>
      <c r="E151" s="96"/>
      <c r="F151" s="61"/>
      <c r="G151" s="55"/>
      <c r="H151" s="56"/>
      <c r="I151" s="56"/>
      <c r="J151" s="219"/>
      <c r="K151" s="217"/>
      <c r="L151" s="50"/>
      <c r="M151" s="50"/>
      <c r="N151" s="48"/>
    </row>
    <row r="152" spans="1:14" ht="14.25">
      <c r="A152" s="61"/>
      <c r="B152" s="62" t="s">
        <v>6</v>
      </c>
      <c r="C152" s="96">
        <v>0.16</v>
      </c>
      <c r="D152" s="88">
        <f>($O$9*1.08*1.09*1.5*1.15)/O10*C152</f>
        <v>7.416360000000001</v>
      </c>
      <c r="E152" s="88">
        <f>($O$9*1.08*1.09*0.15*1.15)/166*C152</f>
        <v>0.7398489253012049</v>
      </c>
      <c r="F152" s="58"/>
      <c r="G152" s="58">
        <f>(D152+E152+F152)*$G$14</f>
        <v>2.7894234524530126</v>
      </c>
      <c r="H152" s="57">
        <f>SUM(D152:G152)</f>
        <v>10.945632377754219</v>
      </c>
      <c r="I152" s="57">
        <f>H152*0.1</f>
        <v>1.094563237775422</v>
      </c>
      <c r="J152" s="218">
        <f>(D152+E152+F152)*$J$15</f>
        <v>1.8922404706698799</v>
      </c>
      <c r="K152" s="218">
        <f>(D152+E152+F152)*$K$15</f>
        <v>6.361842961734941</v>
      </c>
      <c r="L152" s="57">
        <f>(H152+I152+J152+K152)*$L$15</f>
        <v>4.058855809586892</v>
      </c>
      <c r="M152" s="57">
        <f aca="true" t="shared" si="11" ref="M152:M161">SUM(H152:L152)</f>
        <v>24.35313485752135</v>
      </c>
      <c r="N152" s="58">
        <f>M152+M152*$N$15</f>
        <v>28.73669913187519</v>
      </c>
    </row>
    <row r="153" spans="1:14" ht="14.25">
      <c r="A153" s="48"/>
      <c r="B153" s="51"/>
      <c r="C153" s="86"/>
      <c r="D153" s="88"/>
      <c r="E153" s="88"/>
      <c r="F153" s="58"/>
      <c r="G153" s="58"/>
      <c r="H153" s="57"/>
      <c r="I153" s="57"/>
      <c r="J153" s="218"/>
      <c r="K153" s="218"/>
      <c r="L153" s="57"/>
      <c r="M153" s="57"/>
      <c r="N153" s="58"/>
    </row>
    <row r="154" spans="1:14" ht="14.25">
      <c r="A154" s="8">
        <v>2</v>
      </c>
      <c r="B154" s="74" t="s">
        <v>17</v>
      </c>
      <c r="C154" s="99"/>
      <c r="D154" s="114"/>
      <c r="E154" s="113"/>
      <c r="F154" s="23"/>
      <c r="G154" s="109"/>
      <c r="H154" s="110"/>
      <c r="I154" s="110"/>
      <c r="J154" s="223"/>
      <c r="K154" s="223"/>
      <c r="L154" s="110"/>
      <c r="M154" s="110"/>
      <c r="N154" s="109"/>
    </row>
    <row r="155" spans="1:14" ht="14.25">
      <c r="A155" s="61"/>
      <c r="B155" s="51" t="s">
        <v>192</v>
      </c>
      <c r="C155" s="86">
        <f>(1.09-1.04)/10*8+1.04</f>
        <v>1.08</v>
      </c>
      <c r="D155" s="88">
        <f>($O$9*1.08*1.108*1.5*1.15)/O10</f>
        <v>47.1177</v>
      </c>
      <c r="E155" s="88">
        <f>($O$9*1.08*1.08*0.15*1.15)/166</f>
        <v>4.581633253012048</v>
      </c>
      <c r="F155" s="58"/>
      <c r="G155" s="55"/>
      <c r="H155" s="56"/>
      <c r="I155" s="56"/>
      <c r="J155" s="219"/>
      <c r="K155" s="217"/>
      <c r="L155" s="50"/>
      <c r="M155" s="50"/>
      <c r="N155" s="48"/>
    </row>
    <row r="156" spans="1:14" ht="14.25">
      <c r="A156" s="61"/>
      <c r="B156" s="64" t="s">
        <v>18</v>
      </c>
      <c r="C156" s="96">
        <v>3.544</v>
      </c>
      <c r="D156" s="98">
        <f>C156*$D$155</f>
        <v>166.9851288</v>
      </c>
      <c r="E156" s="98">
        <f>C156*$E$155</f>
        <v>16.237308248674697</v>
      </c>
      <c r="F156" s="68"/>
      <c r="G156" s="58">
        <f>(D156+E156+F156)*$G$14</f>
        <v>62.66207347064676</v>
      </c>
      <c r="H156" s="57">
        <f>SUM(D156:G156)</f>
        <v>245.88451051932148</v>
      </c>
      <c r="I156" s="57">
        <f>H156*0.1</f>
        <v>24.58845105193215</v>
      </c>
      <c r="J156" s="218">
        <f>(D156+E156+F156)*$J$15</f>
        <v>42.507605395292536</v>
      </c>
      <c r="K156" s="218">
        <f>(D156+E156+F156)*$K$15</f>
        <v>142.9135008979663</v>
      </c>
      <c r="L156" s="57">
        <f>(H156+I156+J156+K156)*$L$15</f>
        <v>91.1788135729025</v>
      </c>
      <c r="M156" s="57">
        <f t="shared" si="11"/>
        <v>547.0728814374149</v>
      </c>
      <c r="N156" s="58">
        <f>M156+M156*$N$15</f>
        <v>645.5460000961497</v>
      </c>
    </row>
    <row r="157" spans="1:14" ht="14.25">
      <c r="A157" s="48"/>
      <c r="B157" s="60" t="s">
        <v>19</v>
      </c>
      <c r="C157" s="86">
        <v>5.196</v>
      </c>
      <c r="D157" s="88">
        <f>C157*$D$155</f>
        <v>244.82356919999998</v>
      </c>
      <c r="E157" s="88">
        <f>C157*$E$155</f>
        <v>23.8061663826506</v>
      </c>
      <c r="F157" s="58"/>
      <c r="G157" s="58">
        <f>(D157+E157+F157)*$G$14</f>
        <v>91.8713695692665</v>
      </c>
      <c r="H157" s="57">
        <f>SUM(D157:G157)</f>
        <v>360.5011051519171</v>
      </c>
      <c r="I157" s="57">
        <f>H157*0.1</f>
        <v>36.05011051519171</v>
      </c>
      <c r="J157" s="218">
        <f>(D157+E157+F157)*$J$15</f>
        <v>62.32209865517494</v>
      </c>
      <c r="K157" s="218">
        <f>(D157+E157+F157)*$K$15</f>
        <v>209.53119375446747</v>
      </c>
      <c r="L157" s="57">
        <f>(H157+I157+J157+K157)*$L$15</f>
        <v>133.68090161535025</v>
      </c>
      <c r="M157" s="57">
        <f t="shared" si="11"/>
        <v>802.0854096921014</v>
      </c>
      <c r="N157" s="58">
        <f>M157+M157*$N$15</f>
        <v>946.4607834366797</v>
      </c>
    </row>
    <row r="158" spans="1:14" s="85" customFormat="1" ht="14.25">
      <c r="A158" s="99">
        <v>3</v>
      </c>
      <c r="B158" s="100" t="s">
        <v>275</v>
      </c>
      <c r="C158" s="99"/>
      <c r="D158" s="114"/>
      <c r="E158" s="113"/>
      <c r="F158" s="114"/>
      <c r="G158" s="113"/>
      <c r="H158" s="112"/>
      <c r="I158" s="112"/>
      <c r="J158" s="223"/>
      <c r="K158" s="223"/>
      <c r="L158" s="112"/>
      <c r="M158" s="112"/>
      <c r="N158" s="113"/>
    </row>
    <row r="159" spans="1:14" ht="14.25">
      <c r="A159" s="61"/>
      <c r="B159" s="51" t="s">
        <v>202</v>
      </c>
      <c r="C159" s="86">
        <f>(1.142-1.09)/10*2+1.09</f>
        <v>1.1004</v>
      </c>
      <c r="D159" s="88">
        <f>($O$9*1.08*1.1004*1.5*1.15)/O10</f>
        <v>46.79451</v>
      </c>
      <c r="E159" s="88">
        <f>($O$9*1.08*1.1004*0.15*1.15)/166</f>
        <v>4.668175214457831</v>
      </c>
      <c r="F159" s="58"/>
      <c r="G159" s="55"/>
      <c r="H159" s="56"/>
      <c r="I159" s="56"/>
      <c r="J159" s="219"/>
      <c r="K159" s="218"/>
      <c r="L159" s="57"/>
      <c r="M159" s="57"/>
      <c r="N159" s="58"/>
    </row>
    <row r="160" spans="1:14" ht="14.25">
      <c r="A160" s="61"/>
      <c r="B160" s="64" t="s">
        <v>10</v>
      </c>
      <c r="C160" s="96">
        <v>2.592</v>
      </c>
      <c r="D160" s="98">
        <f>C160*D159</f>
        <v>121.29136992000001</v>
      </c>
      <c r="E160" s="98">
        <f>C160*E159</f>
        <v>12.099910155874698</v>
      </c>
      <c r="F160" s="68"/>
      <c r="G160" s="58">
        <f>(D160+E160+F160)*$G$14</f>
        <v>45.61981778594915</v>
      </c>
      <c r="H160" s="89">
        <f>SUM(D160:G160)</f>
        <v>179.01109786182386</v>
      </c>
      <c r="I160" s="89">
        <f>H160*0.1</f>
        <v>17.901109786182385</v>
      </c>
      <c r="J160" s="218">
        <f>(D160+E160+F160)*$J$15</f>
        <v>30.946776977602934</v>
      </c>
      <c r="K160" s="218">
        <f>(D160+E160+F160)*$K$15</f>
        <v>104.04519845918227</v>
      </c>
      <c r="L160" s="57">
        <f>(H160+I160+J160+K160)*$L$15</f>
        <v>66.38083661695829</v>
      </c>
      <c r="M160" s="89">
        <f t="shared" si="11"/>
        <v>398.2850197017497</v>
      </c>
      <c r="N160" s="58">
        <f>M160+M160*$N$15</f>
        <v>469.97632324806466</v>
      </c>
    </row>
    <row r="161" spans="1:14" ht="14.25">
      <c r="A161" s="61"/>
      <c r="B161" s="64" t="s">
        <v>341</v>
      </c>
      <c r="C161" s="96">
        <v>3.324</v>
      </c>
      <c r="D161" s="98">
        <f>C161*D159</f>
        <v>155.54495124</v>
      </c>
      <c r="E161" s="98">
        <f>C161*E159</f>
        <v>15.51701441285783</v>
      </c>
      <c r="F161" s="68"/>
      <c r="G161" s="58">
        <f>(D161+E161+F161)*$G$14</f>
        <v>58.503192253277376</v>
      </c>
      <c r="H161" s="89">
        <f>SUM(D161:G161)</f>
        <v>229.5651579061352</v>
      </c>
      <c r="I161" s="89">
        <f>H161*0.1</f>
        <v>22.956515790613523</v>
      </c>
      <c r="J161" s="218">
        <f>(D161+E161+F161)*$J$15</f>
        <v>39.68637603146302</v>
      </c>
      <c r="K161" s="218">
        <f>(D161+E161+F161)*$K$15</f>
        <v>133.4283332092291</v>
      </c>
      <c r="L161" s="57">
        <f>(H161+I161+J161+K161)*$L$15</f>
        <v>85.12727658748817</v>
      </c>
      <c r="M161" s="89">
        <f t="shared" si="11"/>
        <v>510.763659524929</v>
      </c>
      <c r="N161" s="58">
        <f>M161+M161*$N$15</f>
        <v>602.7011182394162</v>
      </c>
    </row>
    <row r="162" spans="1:14" ht="14.25">
      <c r="A162" s="61"/>
      <c r="B162" s="62"/>
      <c r="C162" s="96"/>
      <c r="D162" s="96"/>
      <c r="E162" s="96"/>
      <c r="F162" s="61"/>
      <c r="G162" s="55"/>
      <c r="H162" s="56"/>
      <c r="I162" s="56"/>
      <c r="J162" s="219"/>
      <c r="K162" s="217"/>
      <c r="L162" s="50"/>
      <c r="M162" s="50"/>
      <c r="N162" s="48"/>
    </row>
    <row r="163" spans="1:14" s="85" customFormat="1" ht="14.25">
      <c r="A163" s="96">
        <v>4</v>
      </c>
      <c r="B163" s="97" t="s">
        <v>12</v>
      </c>
      <c r="C163" s="96"/>
      <c r="D163" s="96"/>
      <c r="E163" s="96"/>
      <c r="F163" s="96"/>
      <c r="G163" s="93"/>
      <c r="H163" s="94"/>
      <c r="I163" s="94"/>
      <c r="J163" s="219"/>
      <c r="K163" s="217"/>
      <c r="L163" s="92"/>
      <c r="M163" s="92"/>
      <c r="N163" s="86"/>
    </row>
    <row r="164" spans="1:14" ht="14.25">
      <c r="A164" s="61"/>
      <c r="B164" s="51" t="s">
        <v>202</v>
      </c>
      <c r="C164" s="86">
        <f>(1.142-1.09)/10*2+1.09</f>
        <v>1.1004</v>
      </c>
      <c r="D164" s="88">
        <f>($O$9*1.08*1.1004*1.5*1.15)/O10</f>
        <v>46.79451</v>
      </c>
      <c r="E164" s="88">
        <f>($O$9*1.08*1.1004*0.15*1.15)/166</f>
        <v>4.668175214457831</v>
      </c>
      <c r="F164" s="58"/>
      <c r="G164" s="55"/>
      <c r="H164" s="56"/>
      <c r="I164" s="56"/>
      <c r="J164" s="219"/>
      <c r="K164" s="218"/>
      <c r="L164" s="57"/>
      <c r="M164" s="57"/>
      <c r="N164" s="58"/>
    </row>
    <row r="165" spans="1:14" ht="14.25">
      <c r="A165" s="61"/>
      <c r="B165" s="64" t="s">
        <v>10</v>
      </c>
      <c r="C165" s="96">
        <v>2.352</v>
      </c>
      <c r="D165" s="98">
        <f>C165*D164</f>
        <v>110.06068752</v>
      </c>
      <c r="E165" s="98">
        <f>C165*E164</f>
        <v>10.979548104404817</v>
      </c>
      <c r="F165" s="68"/>
      <c r="G165" s="58">
        <f>(D165+E165+F165)*$G$14</f>
        <v>41.39576058354645</v>
      </c>
      <c r="H165" s="89">
        <f>SUM(D165:G165)</f>
        <v>162.43599620795126</v>
      </c>
      <c r="I165" s="89">
        <f>H165*0.1</f>
        <v>16.243599620795127</v>
      </c>
      <c r="J165" s="218">
        <f>(D165+E165+F165)*$J$15</f>
        <v>28.08133466486192</v>
      </c>
      <c r="K165" s="218">
        <f>(D165+E165+F165)*$K$15</f>
        <v>94.41138378703576</v>
      </c>
      <c r="L165" s="57">
        <f>(H165+I165+J165+K165)*$L$15</f>
        <v>60.234462856128815</v>
      </c>
      <c r="M165" s="89">
        <f>SUM(H165:L165)</f>
        <v>361.40677713677286</v>
      </c>
      <c r="N165" s="58">
        <f>M165+M165*$N$15</f>
        <v>426.459997021392</v>
      </c>
    </row>
    <row r="166" spans="1:14" ht="14.25">
      <c r="A166" s="61"/>
      <c r="B166" s="64" t="s">
        <v>11</v>
      </c>
      <c r="C166" s="96">
        <v>2.904</v>
      </c>
      <c r="D166" s="98">
        <f>C166*D164</f>
        <v>135.89125704</v>
      </c>
      <c r="E166" s="98">
        <f>C166*E164</f>
        <v>13.55638082278554</v>
      </c>
      <c r="F166" s="68"/>
      <c r="G166" s="58">
        <f>(D166+E166+F166)*$G$14</f>
        <v>51.11109214907266</v>
      </c>
      <c r="H166" s="89">
        <f>SUM(D166:G166)</f>
        <v>200.5587300118582</v>
      </c>
      <c r="I166" s="89">
        <f>H166*0.1</f>
        <v>20.05587300118582</v>
      </c>
      <c r="J166" s="218">
        <f>(D166+E166+F166)*$J$15</f>
        <v>34.671851984166246</v>
      </c>
      <c r="K166" s="218">
        <f>(D166+E166+F166)*$K$15</f>
        <v>116.56915753297272</v>
      </c>
      <c r="L166" s="57">
        <f>(H166+I166+J166+K166)*$L$15</f>
        <v>74.3711225060366</v>
      </c>
      <c r="M166" s="89">
        <f>SUM(H166:L166)</f>
        <v>446.22673503621957</v>
      </c>
      <c r="N166" s="58">
        <f>M166+M166*$N$15</f>
        <v>526.5475473427391</v>
      </c>
    </row>
    <row r="167" spans="1:14" s="85" customFormat="1" ht="14.25">
      <c r="A167" s="96">
        <v>5</v>
      </c>
      <c r="B167" s="97" t="s">
        <v>23</v>
      </c>
      <c r="C167" s="96"/>
      <c r="D167" s="96"/>
      <c r="E167" s="96"/>
      <c r="F167" s="96"/>
      <c r="G167" s="93"/>
      <c r="H167" s="94"/>
      <c r="I167" s="94"/>
      <c r="J167" s="219"/>
      <c r="K167" s="217"/>
      <c r="L167" s="92"/>
      <c r="M167" s="92"/>
      <c r="N167" s="86"/>
    </row>
    <row r="168" spans="1:14" ht="14.25">
      <c r="A168" s="61"/>
      <c r="B168" s="63" t="s">
        <v>266</v>
      </c>
      <c r="C168" s="96"/>
      <c r="D168" s="96"/>
      <c r="E168" s="96"/>
      <c r="F168" s="61"/>
      <c r="G168" s="55"/>
      <c r="H168" s="56"/>
      <c r="I168" s="56"/>
      <c r="J168" s="219"/>
      <c r="K168" s="217"/>
      <c r="L168" s="50"/>
      <c r="M168" s="50"/>
      <c r="N168" s="48"/>
    </row>
    <row r="169" spans="1:14" ht="14.25">
      <c r="A169" s="61"/>
      <c r="B169" s="62" t="s">
        <v>203</v>
      </c>
      <c r="C169" s="96"/>
      <c r="D169" s="96"/>
      <c r="E169" s="96"/>
      <c r="F169" s="61"/>
      <c r="G169" s="55"/>
      <c r="H169" s="56"/>
      <c r="I169" s="56"/>
      <c r="J169" s="219"/>
      <c r="K169" s="217"/>
      <c r="L169" s="50"/>
      <c r="M169" s="50"/>
      <c r="N169" s="48"/>
    </row>
    <row r="170" spans="1:14" ht="14.25">
      <c r="A170" s="61"/>
      <c r="B170" s="64" t="s">
        <v>193</v>
      </c>
      <c r="C170" s="96">
        <v>0.7</v>
      </c>
      <c r="D170" s="88">
        <f>($O$9*1.08*1.09*1.5*1.15)/O10*C170</f>
        <v>32.446575</v>
      </c>
      <c r="E170" s="88">
        <f>($O$9*1.08*1.09*0.15*1.15)/166*C170</f>
        <v>3.2368390481927714</v>
      </c>
      <c r="F170" s="58"/>
      <c r="G170" s="58">
        <f>(D170+E170+F170)*$G$14</f>
        <v>12.20372760448193</v>
      </c>
      <c r="H170" s="57">
        <f>SUM(D170:G170)</f>
        <v>47.8871416526747</v>
      </c>
      <c r="I170" s="57">
        <f>H170*0.1</f>
        <v>4.7887141652674705</v>
      </c>
      <c r="J170" s="218">
        <f>(D170+E170+F170)*$J$15</f>
        <v>8.278552059180724</v>
      </c>
      <c r="K170" s="218">
        <f>(D170+E170+F170)*$K$15</f>
        <v>27.833062957590364</v>
      </c>
      <c r="L170" s="57">
        <f>(H170+I170+J170+K170)*$L$15</f>
        <v>17.757494166942653</v>
      </c>
      <c r="M170" s="57">
        <f>SUM(H170:L170)</f>
        <v>106.54496500165591</v>
      </c>
      <c r="N170" s="58">
        <f>M170+M170*$N$15</f>
        <v>125.72305870195397</v>
      </c>
    </row>
    <row r="171" spans="1:14" ht="14.25">
      <c r="A171" s="48"/>
      <c r="B171" s="60" t="s">
        <v>194</v>
      </c>
      <c r="C171" s="86">
        <v>0.24</v>
      </c>
      <c r="D171" s="88">
        <f>($O$9*1.08*1.09*1.5*1.15)/O10*C171</f>
        <v>11.124540000000001</v>
      </c>
      <c r="E171" s="88">
        <f>($O$9*1.08*1.09*0.15*1.15)/166*C171</f>
        <v>1.1097733879518072</v>
      </c>
      <c r="F171" s="58"/>
      <c r="G171" s="58">
        <f>(D171+E171+F171)*$G$14</f>
        <v>4.184135178679519</v>
      </c>
      <c r="H171" s="57">
        <f>SUM(D171:G171)</f>
        <v>16.418448566631326</v>
      </c>
      <c r="I171" s="57">
        <f>H171*0.1</f>
        <v>1.6418448566631327</v>
      </c>
      <c r="J171" s="218">
        <f>(D171+E171+F171)*$J$15</f>
        <v>2.8383607060048197</v>
      </c>
      <c r="K171" s="218">
        <f>(D171+E171+F171)*$K$15</f>
        <v>9.54276444260241</v>
      </c>
      <c r="L171" s="57">
        <f>(H171+I171+J171+K171)*$L$15</f>
        <v>6.0882837143803386</v>
      </c>
      <c r="M171" s="57">
        <f>SUM(H171:L171)</f>
        <v>36.52970228628203</v>
      </c>
      <c r="N171" s="58">
        <f>M171+M171*$N$15</f>
        <v>43.1050486978128</v>
      </c>
    </row>
    <row r="172" spans="1:14" ht="14.25">
      <c r="A172" s="48"/>
      <c r="B172" s="60"/>
      <c r="C172" s="86"/>
      <c r="D172" s="88"/>
      <c r="E172" s="88"/>
      <c r="F172" s="58"/>
      <c r="G172" s="109"/>
      <c r="H172" s="110"/>
      <c r="I172" s="110"/>
      <c r="J172" s="223"/>
      <c r="K172" s="223"/>
      <c r="L172" s="110"/>
      <c r="M172" s="110"/>
      <c r="N172" s="109"/>
    </row>
    <row r="173" spans="1:14" s="85" customFormat="1" ht="14.25">
      <c r="A173" s="99">
        <v>6</v>
      </c>
      <c r="B173" s="100" t="s">
        <v>276</v>
      </c>
      <c r="C173" s="99"/>
      <c r="D173" s="99"/>
      <c r="E173" s="99"/>
      <c r="F173" s="99"/>
      <c r="G173" s="101"/>
      <c r="H173" s="102"/>
      <c r="I173" s="102"/>
      <c r="J173" s="222"/>
      <c r="K173" s="216"/>
      <c r="L173" s="103"/>
      <c r="M173" s="103"/>
      <c r="N173" s="90"/>
    </row>
    <row r="174" spans="1:14" ht="14.25">
      <c r="A174" s="61"/>
      <c r="B174" s="51" t="s">
        <v>203</v>
      </c>
      <c r="C174" s="86"/>
      <c r="D174" s="88">
        <f>($O$9*1.08*1.09*1.5*1.15)/O10</f>
        <v>46.352250000000005</v>
      </c>
      <c r="E174" s="88">
        <f>($O$9*1.08*1.09*0.15*1.15)/166</f>
        <v>4.624055783132531</v>
      </c>
      <c r="F174" s="58"/>
      <c r="G174" s="55"/>
      <c r="H174" s="56"/>
      <c r="I174" s="56"/>
      <c r="J174" s="219"/>
      <c r="K174" s="218"/>
      <c r="L174" s="57"/>
      <c r="M174" s="57"/>
      <c r="N174" s="58"/>
    </row>
    <row r="175" spans="1:14" ht="14.25">
      <c r="A175" s="61"/>
      <c r="B175" s="64" t="s">
        <v>13</v>
      </c>
      <c r="C175" s="96">
        <v>3.66</v>
      </c>
      <c r="D175" s="98">
        <f>C175*D174</f>
        <v>169.64923500000003</v>
      </c>
      <c r="E175" s="98">
        <f>C175*E174</f>
        <v>16.924044166265062</v>
      </c>
      <c r="F175" s="68"/>
      <c r="G175" s="58">
        <f>(D175+E175+F175)*$G$14</f>
        <v>63.80806147486266</v>
      </c>
      <c r="H175" s="89">
        <f>SUM(D175:G175)</f>
        <v>250.38134064112774</v>
      </c>
      <c r="I175" s="89">
        <f>H175*0.1</f>
        <v>25.038134064112775</v>
      </c>
      <c r="J175" s="218">
        <f>(D175+E175+F175)*$J$15</f>
        <v>43.2850007665735</v>
      </c>
      <c r="K175" s="218">
        <f>(D175+E175+F175)*$K$15</f>
        <v>145.52715774968678</v>
      </c>
      <c r="L175" s="57">
        <f>(H175+I175+J175+K175)*$L$15</f>
        <v>92.84632664430018</v>
      </c>
      <c r="M175" s="89">
        <f>SUM(H175:L175)</f>
        <v>557.077959865801</v>
      </c>
      <c r="N175" s="58">
        <f>M175+M175*$N$15</f>
        <v>657.3519926416451</v>
      </c>
    </row>
    <row r="176" spans="1:14" ht="14.25">
      <c r="A176" s="61"/>
      <c r="B176" s="64" t="s">
        <v>14</v>
      </c>
      <c r="C176" s="96">
        <v>3.13</v>
      </c>
      <c r="D176" s="98">
        <f>C176*D174</f>
        <v>145.08254250000002</v>
      </c>
      <c r="E176" s="98">
        <f>C176*E174</f>
        <v>14.47329460120482</v>
      </c>
      <c r="F176" s="68"/>
      <c r="G176" s="58">
        <f>(D176+E176+F176)*$G$14</f>
        <v>54.56809628861206</v>
      </c>
      <c r="H176" s="89">
        <f>SUM(D176:G176)</f>
        <v>214.1239333898169</v>
      </c>
      <c r="I176" s="89">
        <f>H176*0.1</f>
        <v>21.41239333898169</v>
      </c>
      <c r="J176" s="218">
        <f>(D176+E176+F176)*$J$15</f>
        <v>37.01695420747953</v>
      </c>
      <c r="K176" s="218">
        <f>(D176+E176+F176)*$K$15</f>
        <v>124.45355293893978</v>
      </c>
      <c r="L176" s="57">
        <f>(H176+I176+J176+K176)*$L$15</f>
        <v>79.40136677504358</v>
      </c>
      <c r="M176" s="89">
        <f>SUM(H176:L176)</f>
        <v>476.4082006502615</v>
      </c>
      <c r="N176" s="58">
        <f>M176+M176*$N$15</f>
        <v>562.1616767673086</v>
      </c>
    </row>
    <row r="177" spans="1:14" ht="14.25">
      <c r="A177" s="61"/>
      <c r="B177" s="64"/>
      <c r="C177" s="96"/>
      <c r="D177" s="98"/>
      <c r="E177" s="98"/>
      <c r="F177" s="68"/>
      <c r="G177" s="98"/>
      <c r="H177" s="106"/>
      <c r="I177" s="106"/>
      <c r="J177" s="221"/>
      <c r="K177" s="221"/>
      <c r="L177" s="67"/>
      <c r="M177" s="106"/>
      <c r="N177" s="68"/>
    </row>
    <row r="178" spans="1:14" s="195" customFormat="1" ht="28.5">
      <c r="A178" s="191">
        <v>7</v>
      </c>
      <c r="B178" s="192" t="s">
        <v>120</v>
      </c>
      <c r="C178" s="294">
        <v>0.344</v>
      </c>
      <c r="D178" s="227">
        <f>($O$9*1.08*1.1368*1.5*1.15)/O10*C178</f>
        <v>16.62979248</v>
      </c>
      <c r="E178" s="227">
        <f>($O$9*1.08*1.1368*0.15*1.15)/166*C178</f>
        <v>1.6589720690891565</v>
      </c>
      <c r="F178" s="193"/>
      <c r="G178" s="193">
        <f>(D178+E178+F178)*$G$14</f>
        <v>6.254757475788492</v>
      </c>
      <c r="H178" s="194">
        <f>SUM(D178:G178)</f>
        <v>24.543522024877646</v>
      </c>
      <c r="I178" s="194">
        <f>H178*0.1</f>
        <v>2.454352202487765</v>
      </c>
      <c r="J178" s="225">
        <f>(D178+E178+F178)*$J$15</f>
        <v>4.242993375388684</v>
      </c>
      <c r="K178" s="225">
        <f>(D178+E178+F178)*$K$15</f>
        <v>14.265236348289541</v>
      </c>
      <c r="L178" s="194">
        <f>(H178+I178+J178+K178)*$L$15</f>
        <v>9.101220790208727</v>
      </c>
      <c r="M178" s="194">
        <f>SUM(H178:L178)</f>
        <v>54.60732474125236</v>
      </c>
      <c r="N178" s="193">
        <f>M178+M178*$N$15</f>
        <v>64.43664319467779</v>
      </c>
    </row>
    <row r="179" spans="1:14" ht="15" thickBot="1">
      <c r="A179" s="69"/>
      <c r="B179" s="81"/>
      <c r="C179" s="188"/>
      <c r="D179" s="70"/>
      <c r="E179" s="70"/>
      <c r="F179" s="70"/>
      <c r="G179" s="189"/>
      <c r="H179" s="190"/>
      <c r="I179" s="190"/>
      <c r="J179" s="226"/>
      <c r="K179" s="226"/>
      <c r="L179" s="71"/>
      <c r="M179" s="190"/>
      <c r="N179" s="70"/>
    </row>
    <row r="180" spans="1:11" ht="14.25">
      <c r="A180" s="14" t="s">
        <v>255</v>
      </c>
      <c r="B180" s="84"/>
      <c r="G180" s="24"/>
      <c r="H180" s="24"/>
      <c r="I180" s="24"/>
      <c r="J180" s="347"/>
      <c r="K180" s="346"/>
    </row>
    <row r="181" spans="1:11" ht="14.25">
      <c r="A181" s="14" t="s">
        <v>256</v>
      </c>
      <c r="B181" s="84"/>
      <c r="G181" s="24"/>
      <c r="H181" s="24"/>
      <c r="I181" s="24"/>
      <c r="J181" s="347"/>
      <c r="K181" s="346"/>
    </row>
    <row r="182" spans="10:11" ht="14.25">
      <c r="J182" s="346"/>
      <c r="K182" s="346"/>
    </row>
    <row r="183" spans="1:13" ht="47.25" customHeight="1">
      <c r="A183" s="186"/>
      <c r="B183" s="186" t="s">
        <v>190</v>
      </c>
      <c r="C183" s="295"/>
      <c r="D183" s="186"/>
      <c r="E183" s="186"/>
      <c r="F183" s="186"/>
      <c r="G183" s="186"/>
      <c r="H183" s="72"/>
      <c r="I183" s="72"/>
      <c r="J183" s="348"/>
      <c r="K183" s="346"/>
      <c r="M183" s="14" t="s">
        <v>285</v>
      </c>
    </row>
    <row r="184" spans="1:11" ht="14.25">
      <c r="A184" s="72"/>
      <c r="B184" s="72"/>
      <c r="C184" s="296"/>
      <c r="D184" s="72"/>
      <c r="E184" s="72"/>
      <c r="F184" s="72"/>
      <c r="G184" s="72"/>
      <c r="H184" s="72"/>
      <c r="I184" s="72"/>
      <c r="J184" s="348"/>
      <c r="K184" s="346"/>
    </row>
    <row r="185" spans="1:13" ht="60" customHeight="1">
      <c r="A185" s="72"/>
      <c r="B185" s="72" t="s">
        <v>223</v>
      </c>
      <c r="C185" s="296"/>
      <c r="D185" s="72"/>
      <c r="E185" s="72"/>
      <c r="F185" s="72"/>
      <c r="G185" s="72"/>
      <c r="H185" s="72"/>
      <c r="I185" s="72"/>
      <c r="J185" s="348"/>
      <c r="K185" s="346"/>
      <c r="M185" s="14" t="s">
        <v>431</v>
      </c>
    </row>
    <row r="186" spans="1:11" ht="14.25">
      <c r="A186" s="72"/>
      <c r="B186" s="72"/>
      <c r="C186" s="296"/>
      <c r="D186" s="72"/>
      <c r="E186" s="72"/>
      <c r="F186" s="72"/>
      <c r="G186" s="72"/>
      <c r="H186" s="72"/>
      <c r="I186" s="72"/>
      <c r="J186" s="348"/>
      <c r="K186" s="346"/>
    </row>
    <row r="187" spans="1:11" ht="42" customHeight="1">
      <c r="A187" s="72"/>
      <c r="B187" s="72" t="s">
        <v>231</v>
      </c>
      <c r="C187" s="296"/>
      <c r="D187" s="72"/>
      <c r="E187" s="72"/>
      <c r="F187" s="72"/>
      <c r="G187" s="72"/>
      <c r="H187" s="72"/>
      <c r="I187" s="72"/>
      <c r="J187" s="348"/>
      <c r="K187" s="346"/>
    </row>
    <row r="188" spans="1:13" ht="13.5" customHeight="1">
      <c r="A188" s="72"/>
      <c r="B188" s="72" t="s">
        <v>429</v>
      </c>
      <c r="C188" s="296"/>
      <c r="D188" s="72"/>
      <c r="E188" s="72"/>
      <c r="F188" s="72"/>
      <c r="G188" s="72"/>
      <c r="H188" s="72"/>
      <c r="I188" s="72"/>
      <c r="J188" s="348"/>
      <c r="K188" s="346"/>
      <c r="M188" s="14" t="s">
        <v>417</v>
      </c>
    </row>
    <row r="189" spans="10:11" ht="14.25">
      <c r="J189" s="346"/>
      <c r="K189" s="346"/>
    </row>
    <row r="190" spans="1:11" ht="14.25" hidden="1">
      <c r="A190" s="439"/>
      <c r="B190" s="439"/>
      <c r="C190" s="439"/>
      <c r="D190" s="439"/>
      <c r="E190" s="439"/>
      <c r="F190" s="439"/>
      <c r="G190" s="439"/>
      <c r="H190" s="72" t="s">
        <v>428</v>
      </c>
      <c r="I190" s="72"/>
      <c r="J190" s="348"/>
      <c r="K190" s="346"/>
    </row>
    <row r="191" spans="2:12" ht="15" hidden="1">
      <c r="B191" s="285" t="s">
        <v>369</v>
      </c>
      <c r="J191" s="85"/>
      <c r="K191" s="85"/>
      <c r="L191" s="85"/>
    </row>
    <row r="192" spans="1:12" ht="15" hidden="1">
      <c r="A192" s="284"/>
      <c r="B192" s="38" t="s">
        <v>370</v>
      </c>
      <c r="D192" s="284"/>
      <c r="E192" s="284"/>
      <c r="F192" s="284"/>
      <c r="G192" s="284"/>
      <c r="H192" s="33"/>
      <c r="I192" s="33"/>
      <c r="J192" s="231"/>
      <c r="K192" s="231"/>
      <c r="L192" s="231"/>
    </row>
    <row r="193" spans="1:12" ht="15" hidden="1">
      <c r="A193" s="34"/>
      <c r="B193" s="14" t="s">
        <v>375</v>
      </c>
      <c r="D193" s="34"/>
      <c r="E193" s="34"/>
      <c r="F193" s="34"/>
      <c r="J193" s="231"/>
      <c r="K193" s="231"/>
      <c r="L193" s="231"/>
    </row>
    <row r="194" spans="10:12" ht="14.25" hidden="1">
      <c r="J194" s="231"/>
      <c r="K194" s="231"/>
      <c r="L194" s="231"/>
    </row>
    <row r="195" spans="1:12" ht="15" hidden="1">
      <c r="A195" s="284"/>
      <c r="B195" s="14" t="s">
        <v>371</v>
      </c>
      <c r="D195" s="284"/>
      <c r="E195" s="284"/>
      <c r="F195" s="284"/>
      <c r="G195" s="284"/>
      <c r="H195" s="33"/>
      <c r="I195" s="33"/>
      <c r="J195" s="231"/>
      <c r="K195" s="231"/>
      <c r="L195" s="231"/>
    </row>
    <row r="196" spans="10:12" ht="14.25" hidden="1">
      <c r="J196" s="2"/>
      <c r="K196" s="2"/>
      <c r="L196" s="231"/>
    </row>
    <row r="197" spans="1:14" ht="15.75" hidden="1">
      <c r="A197" s="431" t="s">
        <v>197</v>
      </c>
      <c r="B197" s="431"/>
      <c r="C197" s="431"/>
      <c r="D197" s="431"/>
      <c r="E197" s="431"/>
      <c r="F197" s="431"/>
      <c r="G197" s="431"/>
      <c r="H197" s="431"/>
      <c r="I197" s="431"/>
      <c r="J197" s="431"/>
      <c r="K197" s="431"/>
      <c r="L197" s="431"/>
      <c r="M197" s="431"/>
      <c r="N197" s="431"/>
    </row>
    <row r="198" spans="1:14" ht="15" hidden="1">
      <c r="A198" s="432" t="s">
        <v>284</v>
      </c>
      <c r="B198" s="432"/>
      <c r="C198" s="432"/>
      <c r="D198" s="432"/>
      <c r="E198" s="432"/>
      <c r="F198" s="432"/>
      <c r="G198" s="432"/>
      <c r="H198" s="432"/>
      <c r="I198" s="432"/>
      <c r="J198" s="432"/>
      <c r="K198" s="432"/>
      <c r="L198" s="432"/>
      <c r="M198" s="432"/>
      <c r="N198" s="432"/>
    </row>
    <row r="199" spans="1:14" ht="15" hidden="1">
      <c r="A199" s="432" t="s">
        <v>420</v>
      </c>
      <c r="B199" s="432"/>
      <c r="C199" s="432"/>
      <c r="D199" s="432"/>
      <c r="E199" s="432"/>
      <c r="F199" s="432"/>
      <c r="G199" s="432"/>
      <c r="H199" s="432"/>
      <c r="I199" s="432"/>
      <c r="J199" s="432"/>
      <c r="K199" s="432"/>
      <c r="L199" s="432"/>
      <c r="M199" s="432"/>
      <c r="N199" s="432"/>
    </row>
    <row r="200" spans="1:14" ht="15.75" hidden="1" thickBot="1">
      <c r="A200" s="432" t="s">
        <v>416</v>
      </c>
      <c r="B200" s="432"/>
      <c r="C200" s="432"/>
      <c r="D200" s="432"/>
      <c r="E200" s="432"/>
      <c r="F200" s="432"/>
      <c r="G200" s="432"/>
      <c r="H200" s="432"/>
      <c r="I200" s="432"/>
      <c r="J200" s="432"/>
      <c r="K200" s="432"/>
      <c r="L200" s="432"/>
      <c r="M200" s="432"/>
      <c r="N200" s="432"/>
    </row>
    <row r="201" spans="1:14" ht="15" hidden="1">
      <c r="A201" s="433" t="s">
        <v>16</v>
      </c>
      <c r="B201" s="436" t="s">
        <v>178</v>
      </c>
      <c r="C201" s="232" t="s">
        <v>151</v>
      </c>
      <c r="D201" s="3" t="s">
        <v>29</v>
      </c>
      <c r="E201" s="3" t="s">
        <v>268</v>
      </c>
      <c r="F201" s="3" t="s">
        <v>412</v>
      </c>
      <c r="G201" s="3" t="s">
        <v>153</v>
      </c>
      <c r="H201" s="37" t="s">
        <v>196</v>
      </c>
      <c r="I201" s="3" t="s">
        <v>280</v>
      </c>
      <c r="J201" s="208" t="s">
        <v>224</v>
      </c>
      <c r="K201" s="209" t="s">
        <v>26</v>
      </c>
      <c r="L201" s="5" t="s">
        <v>27</v>
      </c>
      <c r="M201" s="73" t="s">
        <v>196</v>
      </c>
      <c r="N201" s="5" t="s">
        <v>196</v>
      </c>
    </row>
    <row r="202" spans="1:14" ht="15" hidden="1">
      <c r="A202" s="434"/>
      <c r="B202" s="437"/>
      <c r="C202" s="233" t="s">
        <v>152</v>
      </c>
      <c r="D202" s="7" t="s">
        <v>267</v>
      </c>
      <c r="E202" s="7" t="s">
        <v>269</v>
      </c>
      <c r="F202" s="7" t="s">
        <v>413</v>
      </c>
      <c r="G202" s="7" t="s">
        <v>154</v>
      </c>
      <c r="H202" s="39" t="s">
        <v>270</v>
      </c>
      <c r="I202" s="7" t="s">
        <v>281</v>
      </c>
      <c r="J202" s="210" t="s">
        <v>156</v>
      </c>
      <c r="K202" s="211" t="s">
        <v>156</v>
      </c>
      <c r="L202" s="13" t="s">
        <v>225</v>
      </c>
      <c r="M202" s="75" t="s">
        <v>24</v>
      </c>
      <c r="N202" s="9" t="s">
        <v>24</v>
      </c>
    </row>
    <row r="203" spans="1:14" ht="15" hidden="1">
      <c r="A203" s="434"/>
      <c r="B203" s="437"/>
      <c r="C203" s="292" t="s">
        <v>179</v>
      </c>
      <c r="D203" s="7" t="s">
        <v>176</v>
      </c>
      <c r="E203" s="7" t="s">
        <v>176</v>
      </c>
      <c r="F203" s="7" t="s">
        <v>176</v>
      </c>
      <c r="G203" s="7"/>
      <c r="H203" s="39" t="s">
        <v>176</v>
      </c>
      <c r="I203" s="7" t="s">
        <v>282</v>
      </c>
      <c r="J203" s="210" t="s">
        <v>155</v>
      </c>
      <c r="K203" s="211" t="s">
        <v>155</v>
      </c>
      <c r="L203" s="40" t="s">
        <v>176</v>
      </c>
      <c r="M203" s="75" t="s">
        <v>283</v>
      </c>
      <c r="N203" s="9" t="s">
        <v>25</v>
      </c>
    </row>
    <row r="204" spans="1:14" ht="15" hidden="1">
      <c r="A204" s="434"/>
      <c r="B204" s="437"/>
      <c r="C204" s="292"/>
      <c r="D204" s="41"/>
      <c r="E204" s="41"/>
      <c r="F204" s="41"/>
      <c r="G204" s="42">
        <v>0.262</v>
      </c>
      <c r="H204" s="42"/>
      <c r="I204" s="42" t="s">
        <v>270</v>
      </c>
      <c r="J204" s="212"/>
      <c r="K204" s="213"/>
      <c r="L204" s="43"/>
      <c r="M204" s="75" t="s">
        <v>176</v>
      </c>
      <c r="N204" s="9" t="s">
        <v>253</v>
      </c>
    </row>
    <row r="205" spans="1:14" ht="15" hidden="1" thickBot="1">
      <c r="A205" s="435"/>
      <c r="B205" s="438"/>
      <c r="C205" s="235"/>
      <c r="D205" s="19"/>
      <c r="E205" s="19"/>
      <c r="F205" s="19"/>
      <c r="G205" s="19"/>
      <c r="H205" s="19"/>
      <c r="I205" s="82" t="s">
        <v>176</v>
      </c>
      <c r="J205" s="214">
        <v>0.232</v>
      </c>
      <c r="K205" s="215">
        <v>0.682</v>
      </c>
      <c r="L205" s="187">
        <v>0.1</v>
      </c>
      <c r="M205" s="21"/>
      <c r="N205" s="187">
        <v>0.18</v>
      </c>
    </row>
    <row r="206" spans="1:14" ht="14.25" hidden="1">
      <c r="A206" s="95" t="s">
        <v>180</v>
      </c>
      <c r="B206" s="49" t="s">
        <v>182</v>
      </c>
      <c r="C206" s="86"/>
      <c r="D206" s="48"/>
      <c r="E206" s="48"/>
      <c r="F206" s="48"/>
      <c r="G206" s="48"/>
      <c r="H206" s="50"/>
      <c r="I206" s="50"/>
      <c r="J206" s="217"/>
      <c r="K206" s="217"/>
      <c r="L206" s="50"/>
      <c r="M206" s="50"/>
      <c r="N206" s="48"/>
    </row>
    <row r="207" spans="1:14" ht="15" hidden="1">
      <c r="A207" s="90">
        <v>1</v>
      </c>
      <c r="B207" s="91" t="s">
        <v>157</v>
      </c>
      <c r="C207" s="86"/>
      <c r="D207" s="86"/>
      <c r="E207" s="86"/>
      <c r="F207" s="86"/>
      <c r="G207" s="86"/>
      <c r="H207" s="92"/>
      <c r="I207" s="92"/>
      <c r="J207" s="217"/>
      <c r="K207" s="217"/>
      <c r="L207" s="92"/>
      <c r="M207" s="92"/>
      <c r="N207" s="86"/>
    </row>
    <row r="208" spans="1:14" ht="15" hidden="1">
      <c r="A208" s="48"/>
      <c r="B208" s="53" t="s">
        <v>150</v>
      </c>
      <c r="C208" s="86"/>
      <c r="D208" s="48"/>
      <c r="E208" s="48"/>
      <c r="F208" s="48"/>
      <c r="G208" s="48"/>
      <c r="H208" s="50"/>
      <c r="I208" s="50"/>
      <c r="J208" s="217"/>
      <c r="K208" s="217"/>
      <c r="L208" s="50"/>
      <c r="M208" s="50"/>
      <c r="N208" s="48"/>
    </row>
    <row r="209" spans="1:14" ht="14.25" hidden="1">
      <c r="A209" s="48"/>
      <c r="B209" s="51" t="s">
        <v>331</v>
      </c>
      <c r="C209" s="86"/>
      <c r="D209" s="58">
        <f>($O$9*1.08*1.1056*1.5*1.15)/165.6</f>
        <v>47.01564</v>
      </c>
      <c r="E209" s="58">
        <f>($O$9*1.1056*1.08*0.15*1.15)/165.6</f>
        <v>4.701563999999999</v>
      </c>
      <c r="F209" s="58">
        <f>($O$9*1.1056*0.08*1.15)/165.6</f>
        <v>2.32176</v>
      </c>
      <c r="G209" s="48"/>
      <c r="H209" s="50"/>
      <c r="I209" s="50"/>
      <c r="J209" s="217"/>
      <c r="K209" s="217"/>
      <c r="L209" s="50"/>
      <c r="M209" s="50"/>
      <c r="N209" s="48"/>
    </row>
    <row r="210" spans="1:14" ht="14.25" hidden="1">
      <c r="A210" s="48"/>
      <c r="B210" s="51" t="s">
        <v>177</v>
      </c>
      <c r="C210" s="86"/>
      <c r="D210" s="48"/>
      <c r="E210" s="48"/>
      <c r="F210" s="48"/>
      <c r="G210" s="48"/>
      <c r="H210" s="50"/>
      <c r="I210" s="50"/>
      <c r="J210" s="217"/>
      <c r="K210" s="217"/>
      <c r="L210" s="50"/>
      <c r="M210" s="50"/>
      <c r="N210" s="48"/>
    </row>
    <row r="211" spans="1:14" ht="14.25" hidden="1">
      <c r="A211" s="48"/>
      <c r="B211" s="54" t="s">
        <v>67</v>
      </c>
      <c r="C211" s="86">
        <v>1.072</v>
      </c>
      <c r="D211" s="58">
        <f>$D$209*C211</f>
        <v>50.400766080000004</v>
      </c>
      <c r="E211" s="58">
        <f>$E$209*C211</f>
        <v>5.040076608</v>
      </c>
      <c r="F211" s="58">
        <f>$F$209*C211</f>
        <v>2.48892672</v>
      </c>
      <c r="G211" s="58">
        <f>(D211+E211+F211)*$G$14</f>
        <v>19.811981137536005</v>
      </c>
      <c r="H211" s="57">
        <f>SUM(D211:G211)</f>
        <v>77.74175054553601</v>
      </c>
      <c r="I211" s="57">
        <f>H211*0.1</f>
        <v>7.774175054553601</v>
      </c>
      <c r="J211" s="218">
        <f>(D211+E211+F211)*$J$15</f>
        <v>13.439706502656001</v>
      </c>
      <c r="K211" s="218">
        <f>(D211+E211+F211)*$K$205</f>
        <v>39.508102736256006</v>
      </c>
      <c r="L211" s="57">
        <f>(H211+I211+J211+K211)*$L$15</f>
        <v>27.69274696780032</v>
      </c>
      <c r="M211" s="57">
        <f>SUM(H211:L211)</f>
        <v>166.15648180680193</v>
      </c>
      <c r="N211" s="58">
        <f>M211+M211*$N$15</f>
        <v>196.0646485320263</v>
      </c>
    </row>
    <row r="212" spans="1:14" ht="14.25" hidden="1">
      <c r="A212" s="48"/>
      <c r="B212" s="59">
        <v>32</v>
      </c>
      <c r="C212" s="86">
        <v>1.094</v>
      </c>
      <c r="D212" s="58">
        <f>$D$209*C212</f>
        <v>51.43511016</v>
      </c>
      <c r="E212" s="58">
        <f>$E$209*C212</f>
        <v>5.143511016</v>
      </c>
      <c r="F212" s="58">
        <f>$F$209*C212</f>
        <v>2.54000544</v>
      </c>
      <c r="G212" s="58">
        <f>(D212+E212+F212)*$G$14</f>
        <v>20.218570302672003</v>
      </c>
      <c r="H212" s="57">
        <f>SUM(D212:G212)</f>
        <v>79.337196918672</v>
      </c>
      <c r="I212" s="57">
        <f>H212*0.1</f>
        <v>7.933719691867201</v>
      </c>
      <c r="J212" s="218">
        <f>(D212+E212+F212)*$J$15</f>
        <v>13.715521374912</v>
      </c>
      <c r="K212" s="218">
        <f>(D212+E212+F212)*$K$205</f>
        <v>40.318903352112</v>
      </c>
      <c r="L212" s="57">
        <f>(H212+I212+J212+K212)*$L$15</f>
        <v>28.261068267512645</v>
      </c>
      <c r="M212" s="57">
        <f>SUM(H212:L212)</f>
        <v>169.56640960507588</v>
      </c>
      <c r="N212" s="58">
        <f>M212+M212*$N$15</f>
        <v>200.08836333398955</v>
      </c>
    </row>
    <row r="213" spans="1:14" ht="14.25" hidden="1">
      <c r="A213" s="48"/>
      <c r="B213" s="59">
        <v>50</v>
      </c>
      <c r="C213" s="86">
        <v>1.332</v>
      </c>
      <c r="D213" s="58">
        <f>$D$209*C213</f>
        <v>62.62483248</v>
      </c>
      <c r="E213" s="58">
        <f>$E$209*C213</f>
        <v>6.262483248</v>
      </c>
      <c r="F213" s="58">
        <f>$F$209*C213</f>
        <v>3.09258432</v>
      </c>
      <c r="G213" s="58">
        <f>(D213+E213+F213)*$G$14</f>
        <v>24.617125816416003</v>
      </c>
      <c r="H213" s="57">
        <f>SUM(D213:G213)</f>
        <v>96.59702586441601</v>
      </c>
      <c r="I213" s="57">
        <f>H213*0.1</f>
        <v>9.659702586441602</v>
      </c>
      <c r="J213" s="218">
        <f>(D213+E213+F213)*$J$15</f>
        <v>16.699336811136003</v>
      </c>
      <c r="K213" s="218">
        <f>(D213+E213+F213)*$K$205</f>
        <v>49.09029183273601</v>
      </c>
      <c r="L213" s="57">
        <f>(H213+I213+J213+K213)*$L$15</f>
        <v>34.40927141894593</v>
      </c>
      <c r="M213" s="57">
        <f>SUM(H213:L213)</f>
        <v>206.45562851367555</v>
      </c>
      <c r="N213" s="58">
        <f>M213+M213*$N$15</f>
        <v>243.61764164613714</v>
      </c>
    </row>
    <row r="214" spans="1:14" ht="15" hidden="1">
      <c r="A214" s="86">
        <v>2</v>
      </c>
      <c r="B214" s="91" t="s">
        <v>157</v>
      </c>
      <c r="C214" s="86"/>
      <c r="D214" s="86"/>
      <c r="E214" s="86"/>
      <c r="F214" s="86"/>
      <c r="G214" s="88"/>
      <c r="H214" s="89"/>
      <c r="I214" s="89"/>
      <c r="J214" s="218"/>
      <c r="K214" s="217"/>
      <c r="L214" s="92"/>
      <c r="M214" s="92"/>
      <c r="N214" s="86"/>
    </row>
    <row r="215" spans="1:14" ht="15" hidden="1">
      <c r="A215" s="48"/>
      <c r="B215" s="53" t="s">
        <v>188</v>
      </c>
      <c r="C215" s="86"/>
      <c r="D215" s="48"/>
      <c r="E215" s="48"/>
      <c r="F215" s="48"/>
      <c r="G215" s="58"/>
      <c r="H215" s="57"/>
      <c r="I215" s="57"/>
      <c r="J215" s="218"/>
      <c r="K215" s="217"/>
      <c r="L215" s="50"/>
      <c r="M215" s="50"/>
      <c r="N215" s="48"/>
    </row>
    <row r="216" spans="1:14" ht="14.25" hidden="1">
      <c r="A216" s="48"/>
      <c r="B216" s="51" t="s">
        <v>5</v>
      </c>
      <c r="C216" s="86"/>
      <c r="D216" s="88">
        <f>($O$9*1.142*1.3*1.5*1.15)/165.6</f>
        <v>58.45612499999999</v>
      </c>
      <c r="E216" s="88">
        <f>($O$9*1.142*1.3*0.15*1.15)/165.6</f>
        <v>5.845612499999999</v>
      </c>
      <c r="F216" s="58">
        <f>($O$9*1.142*1.3*1.15)/165.6</f>
        <v>38.970749999999995</v>
      </c>
      <c r="G216" s="58"/>
      <c r="H216" s="57"/>
      <c r="I216" s="57"/>
      <c r="J216" s="218"/>
      <c r="K216" s="217"/>
      <c r="L216" s="50"/>
      <c r="M216" s="50"/>
      <c r="N216" s="48"/>
    </row>
    <row r="217" spans="1:14" ht="14.25" hidden="1">
      <c r="A217" s="48"/>
      <c r="B217" s="51" t="s">
        <v>4</v>
      </c>
      <c r="C217" s="86"/>
      <c r="D217" s="88">
        <f>($O$9*1.04*1.08*1.5*1.15)/165.6</f>
        <v>44.226000000000006</v>
      </c>
      <c r="E217" s="88">
        <f>($O$9*1.04*1.08*0.15*1.15)/165.6</f>
        <v>4.4226</v>
      </c>
      <c r="F217" s="88">
        <f>($O$9*1.04*0.08*1.15)/165.6</f>
        <v>2.184</v>
      </c>
      <c r="G217" s="58"/>
      <c r="H217" s="57"/>
      <c r="I217" s="57"/>
      <c r="J217" s="218"/>
      <c r="K217" s="217"/>
      <c r="L217" s="50"/>
      <c r="M217" s="50"/>
      <c r="N217" s="48"/>
    </row>
    <row r="218" spans="1:14" ht="14.25" hidden="1">
      <c r="A218" s="48"/>
      <c r="B218" s="51" t="s">
        <v>158</v>
      </c>
      <c r="C218" s="86"/>
      <c r="D218" s="86"/>
      <c r="E218" s="86"/>
      <c r="F218" s="48"/>
      <c r="G218" s="58"/>
      <c r="H218" s="57"/>
      <c r="I218" s="57"/>
      <c r="J218" s="218"/>
      <c r="K218" s="217"/>
      <c r="L218" s="50"/>
      <c r="M218" s="50"/>
      <c r="N218" s="48"/>
    </row>
    <row r="219" spans="1:14" ht="14.25" hidden="1">
      <c r="A219" s="48"/>
      <c r="B219" s="59" t="s">
        <v>189</v>
      </c>
      <c r="C219" s="86">
        <v>0.778</v>
      </c>
      <c r="D219" s="88">
        <f>($D$29+$D$30)*C219</f>
        <v>66.84284249999999</v>
      </c>
      <c r="E219" s="88">
        <f>($E$29+$E$30)*C219</f>
        <v>6.684284250000001</v>
      </c>
      <c r="F219" s="58">
        <f>($F$29+$F$30)*C219</f>
        <v>8.695900499999999</v>
      </c>
      <c r="G219" s="58">
        <f aca="true" t="shared" si="12" ref="G219:G227">(D219+E219+F219)*$G$14</f>
        <v>28.1202753195</v>
      </c>
      <c r="H219" s="57">
        <f>SUM(D219:G219)</f>
        <v>110.34330256949998</v>
      </c>
      <c r="I219" s="57">
        <f aca="true" t="shared" si="13" ref="I219:I225">H219*0.1</f>
        <v>11.03433025695</v>
      </c>
      <c r="J219" s="218">
        <f aca="true" t="shared" si="14" ref="J219:J227">(D219+E219+F219)*$J$15</f>
        <v>19.075742321999996</v>
      </c>
      <c r="K219" s="218">
        <f aca="true" t="shared" si="15" ref="K219:K227">(D219+E219+F219)*$K$205</f>
        <v>56.076104584499994</v>
      </c>
      <c r="L219" s="57">
        <f>(H219+I219+J219+K219)*$L$15</f>
        <v>39.30589594659</v>
      </c>
      <c r="M219" s="57">
        <f aca="true" t="shared" si="16" ref="M219:M225">SUM(H219:L219)</f>
        <v>235.83537567954</v>
      </c>
      <c r="N219" s="58">
        <f aca="true" t="shared" si="17" ref="N219:N227">M219+M219*$N$15</f>
        <v>278.28574330185717</v>
      </c>
    </row>
    <row r="220" spans="1:14" ht="14.25" hidden="1">
      <c r="A220" s="48"/>
      <c r="B220" s="59">
        <v>20</v>
      </c>
      <c r="C220" s="86">
        <v>0.859</v>
      </c>
      <c r="D220" s="88">
        <f aca="true" t="shared" si="18" ref="D220:D227">($D$29+$D$30)*C220</f>
        <v>73.80205874999999</v>
      </c>
      <c r="E220" s="88">
        <f aca="true" t="shared" si="19" ref="E220:E225">($E$29+$E$30)*C220</f>
        <v>7.380205875000001</v>
      </c>
      <c r="F220" s="58">
        <f aca="true" t="shared" si="20" ref="F220:F226">($F$29+$F$30)*C220</f>
        <v>9.601257749999997</v>
      </c>
      <c r="G220" s="58">
        <f t="shared" si="12"/>
        <v>31.04796465225</v>
      </c>
      <c r="H220" s="57">
        <f aca="true" t="shared" si="21" ref="H220:H227">SUM(D220:G220)</f>
        <v>121.83148702724999</v>
      </c>
      <c r="I220" s="57">
        <f t="shared" si="13"/>
        <v>12.183148702725</v>
      </c>
      <c r="J220" s="218">
        <f t="shared" si="14"/>
        <v>21.061777190999997</v>
      </c>
      <c r="K220" s="218">
        <f t="shared" si="15"/>
        <v>61.91436225975</v>
      </c>
      <c r="L220" s="57">
        <f aca="true" t="shared" si="22" ref="L220:L227">(H220+I220+J220+K220)*$L$15</f>
        <v>43.398155036145</v>
      </c>
      <c r="M220" s="57">
        <f t="shared" si="16"/>
        <v>260.38893021687</v>
      </c>
      <c r="N220" s="58">
        <f t="shared" si="17"/>
        <v>307.2589376559066</v>
      </c>
    </row>
    <row r="221" spans="1:14" ht="14.25" hidden="1">
      <c r="A221" s="48"/>
      <c r="B221" s="59">
        <v>25</v>
      </c>
      <c r="C221" s="86">
        <v>0.948</v>
      </c>
      <c r="D221" s="88">
        <f t="shared" si="18"/>
        <v>81.44860499999999</v>
      </c>
      <c r="E221" s="88">
        <f t="shared" si="19"/>
        <v>8.1448605</v>
      </c>
      <c r="F221" s="58">
        <f t="shared" si="20"/>
        <v>10.596032999999997</v>
      </c>
      <c r="G221" s="58">
        <f t="shared" si="12"/>
        <v>34.26480848699999</v>
      </c>
      <c r="H221" s="57">
        <f t="shared" si="21"/>
        <v>134.45430698699997</v>
      </c>
      <c r="I221" s="57">
        <f t="shared" si="13"/>
        <v>13.445430698699997</v>
      </c>
      <c r="J221" s="218">
        <f t="shared" si="14"/>
        <v>23.243963651999994</v>
      </c>
      <c r="K221" s="218">
        <f t="shared" si="15"/>
        <v>68.32923797699999</v>
      </c>
      <c r="L221" s="57">
        <f t="shared" si="22"/>
        <v>47.89458786293999</v>
      </c>
      <c r="M221" s="57">
        <f t="shared" si="16"/>
        <v>287.36752717763994</v>
      </c>
      <c r="N221" s="58">
        <f t="shared" si="17"/>
        <v>339.0936820696151</v>
      </c>
    </row>
    <row r="222" spans="1:14" ht="14.25" hidden="1">
      <c r="A222" s="48"/>
      <c r="B222" s="59">
        <v>32</v>
      </c>
      <c r="C222" s="86">
        <v>1.15</v>
      </c>
      <c r="D222" s="88">
        <f t="shared" si="18"/>
        <v>98.80368749999998</v>
      </c>
      <c r="E222" s="88">
        <f t="shared" si="19"/>
        <v>9.88036875</v>
      </c>
      <c r="F222" s="58">
        <f t="shared" si="20"/>
        <v>12.853837499999996</v>
      </c>
      <c r="G222" s="58">
        <f t="shared" si="12"/>
        <v>41.5659596625</v>
      </c>
      <c r="H222" s="57">
        <f t="shared" si="21"/>
        <v>163.10385341249997</v>
      </c>
      <c r="I222" s="57">
        <f t="shared" si="13"/>
        <v>16.310385341249997</v>
      </c>
      <c r="J222" s="218">
        <f t="shared" si="14"/>
        <v>28.196791349999998</v>
      </c>
      <c r="K222" s="218">
        <f t="shared" si="15"/>
        <v>82.8888435375</v>
      </c>
      <c r="L222" s="57">
        <f t="shared" si="22"/>
        <v>58.09997472825</v>
      </c>
      <c r="M222" s="57">
        <f t="shared" si="16"/>
        <v>348.59984836949997</v>
      </c>
      <c r="N222" s="58">
        <f t="shared" si="17"/>
        <v>411.34782107600995</v>
      </c>
    </row>
    <row r="223" spans="1:14" ht="14.25" hidden="1">
      <c r="A223" s="48"/>
      <c r="B223" s="59">
        <v>40</v>
      </c>
      <c r="C223" s="86">
        <v>1.214</v>
      </c>
      <c r="D223" s="88">
        <f t="shared" si="18"/>
        <v>104.30232749999999</v>
      </c>
      <c r="E223" s="88">
        <f t="shared" si="19"/>
        <v>10.43023275</v>
      </c>
      <c r="F223" s="58">
        <f t="shared" si="20"/>
        <v>13.569181499999996</v>
      </c>
      <c r="G223" s="58">
        <f t="shared" si="12"/>
        <v>43.8791956785</v>
      </c>
      <c r="H223" s="57">
        <f t="shared" si="21"/>
        <v>172.1809374285</v>
      </c>
      <c r="I223" s="57">
        <f t="shared" si="13"/>
        <v>17.218093742849998</v>
      </c>
      <c r="J223" s="218">
        <f t="shared" si="14"/>
        <v>29.766004086</v>
      </c>
      <c r="K223" s="218">
        <f t="shared" si="15"/>
        <v>87.5017878735</v>
      </c>
      <c r="L223" s="57">
        <f t="shared" si="22"/>
        <v>61.33336462617</v>
      </c>
      <c r="M223" s="57">
        <f t="shared" si="16"/>
        <v>368.00018775702</v>
      </c>
      <c r="N223" s="58">
        <f t="shared" si="17"/>
        <v>434.2402215532836</v>
      </c>
    </row>
    <row r="224" spans="1:14" ht="14.25" hidden="1">
      <c r="A224" s="48"/>
      <c r="B224" s="59">
        <v>50</v>
      </c>
      <c r="C224" s="86">
        <v>1.349</v>
      </c>
      <c r="D224" s="88">
        <f t="shared" si="18"/>
        <v>115.90102124999999</v>
      </c>
      <c r="E224" s="88">
        <f t="shared" si="19"/>
        <v>11.590102125000001</v>
      </c>
      <c r="F224" s="58">
        <f>($F$29+$F$30)*C224</f>
        <v>15.078110249999996</v>
      </c>
      <c r="G224" s="58">
        <f t="shared" si="12"/>
        <v>48.75867789975</v>
      </c>
      <c r="H224" s="57">
        <f t="shared" si="21"/>
        <v>191.32791152475</v>
      </c>
      <c r="I224" s="57">
        <f t="shared" si="13"/>
        <v>19.132791152475</v>
      </c>
      <c r="J224" s="218">
        <f t="shared" si="14"/>
        <v>33.076062201</v>
      </c>
      <c r="K224" s="218">
        <f t="shared" si="15"/>
        <v>97.23221733224999</v>
      </c>
      <c r="L224" s="57">
        <f t="shared" si="22"/>
        <v>68.153796442095</v>
      </c>
      <c r="M224" s="57">
        <f t="shared" si="16"/>
        <v>408.92277865256995</v>
      </c>
      <c r="N224" s="58">
        <f t="shared" si="17"/>
        <v>482.52887881003255</v>
      </c>
    </row>
    <row r="225" spans="1:14" ht="14.25" hidden="1">
      <c r="A225" s="48"/>
      <c r="B225" s="59">
        <v>65</v>
      </c>
      <c r="C225" s="86">
        <v>1.585</v>
      </c>
      <c r="D225" s="88">
        <f t="shared" si="18"/>
        <v>136.17725624999997</v>
      </c>
      <c r="E225" s="88">
        <f t="shared" si="19"/>
        <v>13.617725625</v>
      </c>
      <c r="F225" s="58">
        <f t="shared" si="20"/>
        <v>17.715941249999997</v>
      </c>
      <c r="G225" s="58">
        <f t="shared" si="12"/>
        <v>57.28873570874999</v>
      </c>
      <c r="H225" s="57">
        <f t="shared" si="21"/>
        <v>224.79965883374993</v>
      </c>
      <c r="I225" s="57">
        <f t="shared" si="13"/>
        <v>22.479965883374994</v>
      </c>
      <c r="J225" s="218">
        <f t="shared" si="14"/>
        <v>38.86253416499999</v>
      </c>
      <c r="K225" s="218">
        <f t="shared" si="15"/>
        <v>114.24244957124998</v>
      </c>
      <c r="L225" s="57">
        <f t="shared" si="22"/>
        <v>80.07692169067498</v>
      </c>
      <c r="M225" s="57">
        <f t="shared" si="16"/>
        <v>480.46153014404985</v>
      </c>
      <c r="N225" s="58">
        <f t="shared" si="17"/>
        <v>566.9446055699789</v>
      </c>
    </row>
    <row r="226" spans="1:14" ht="14.25" hidden="1">
      <c r="A226" s="48"/>
      <c r="B226" s="59">
        <v>80</v>
      </c>
      <c r="C226" s="86">
        <v>1.748</v>
      </c>
      <c r="D226" s="88">
        <f t="shared" si="18"/>
        <v>150.181605</v>
      </c>
      <c r="E226" s="88">
        <f>($E$29+$E$30)*C226</f>
        <v>15.0181605</v>
      </c>
      <c r="F226" s="58">
        <f t="shared" si="20"/>
        <v>19.537832999999996</v>
      </c>
      <c r="G226" s="58">
        <f t="shared" si="12"/>
        <v>63.180258687</v>
      </c>
      <c r="H226" s="57">
        <f t="shared" si="21"/>
        <v>247.91785718699998</v>
      </c>
      <c r="I226" s="57">
        <f>H226*0.1</f>
        <v>24.791785718699998</v>
      </c>
      <c r="J226" s="218">
        <f t="shared" si="14"/>
        <v>42.859122852</v>
      </c>
      <c r="K226" s="218">
        <f t="shared" si="15"/>
        <v>125.991042177</v>
      </c>
      <c r="L226" s="57">
        <f t="shared" si="22"/>
        <v>88.31196158694</v>
      </c>
      <c r="M226" s="57">
        <f>SUM(H226:L226)</f>
        <v>529.87176952164</v>
      </c>
      <c r="N226" s="58">
        <f t="shared" si="17"/>
        <v>625.2486880355352</v>
      </c>
    </row>
    <row r="227" spans="1:14" ht="14.25" hidden="1">
      <c r="A227" s="48"/>
      <c r="B227" s="59">
        <v>100</v>
      </c>
      <c r="C227" s="86">
        <v>2.204</v>
      </c>
      <c r="D227" s="88">
        <f t="shared" si="18"/>
        <v>189.35941499999998</v>
      </c>
      <c r="E227" s="88">
        <f>($E$29+$E$30)*C227</f>
        <v>18.935941500000002</v>
      </c>
      <c r="F227" s="58">
        <f>($F$29+$F$30)*C227</f>
        <v>24.634658999999996</v>
      </c>
      <c r="G227" s="58">
        <f t="shared" si="12"/>
        <v>79.662065301</v>
      </c>
      <c r="H227" s="57">
        <f t="shared" si="21"/>
        <v>312.592080801</v>
      </c>
      <c r="I227" s="57">
        <f>H227*0.1</f>
        <v>31.259208080100002</v>
      </c>
      <c r="J227" s="218">
        <f t="shared" si="14"/>
        <v>54.039763596</v>
      </c>
      <c r="K227" s="218">
        <f t="shared" si="15"/>
        <v>158.85827057100002</v>
      </c>
      <c r="L227" s="57">
        <f t="shared" si="22"/>
        <v>111.34986460962</v>
      </c>
      <c r="M227" s="57">
        <f>SUM(H227:L227)</f>
        <v>668.09918765772</v>
      </c>
      <c r="N227" s="58">
        <f t="shared" si="17"/>
        <v>788.3570414361096</v>
      </c>
    </row>
    <row r="228" spans="1:14" ht="15" hidden="1">
      <c r="A228" s="86">
        <v>3</v>
      </c>
      <c r="B228" s="91" t="s">
        <v>157</v>
      </c>
      <c r="C228" s="86"/>
      <c r="D228" s="86"/>
      <c r="E228" s="86"/>
      <c r="F228" s="86"/>
      <c r="G228" s="88"/>
      <c r="H228" s="89"/>
      <c r="I228" s="89"/>
      <c r="J228" s="218"/>
      <c r="K228" s="217"/>
      <c r="L228" s="92"/>
      <c r="M228" s="92"/>
      <c r="N228" s="86"/>
    </row>
    <row r="229" spans="1:14" ht="15" hidden="1">
      <c r="A229" s="48"/>
      <c r="B229" s="53" t="s">
        <v>15</v>
      </c>
      <c r="C229" s="86"/>
      <c r="D229" s="86"/>
      <c r="E229" s="86"/>
      <c r="F229" s="48"/>
      <c r="G229" s="58"/>
      <c r="H229" s="57"/>
      <c r="I229" s="57"/>
      <c r="J229" s="218"/>
      <c r="K229" s="217"/>
      <c r="L229" s="50"/>
      <c r="M229" s="50"/>
      <c r="N229" s="48"/>
    </row>
    <row r="230" spans="1:14" ht="14.25" hidden="1">
      <c r="A230" s="48"/>
      <c r="B230" s="51" t="s">
        <v>220</v>
      </c>
      <c r="C230" s="86">
        <f>(1.268-1.142)/10*3+1.142</f>
        <v>1.1798</v>
      </c>
      <c r="D230" s="88">
        <f>($O$9*1.1798*1.5*1.15)/165.6</f>
        <v>46.454625</v>
      </c>
      <c r="E230" s="88">
        <f>($O$9*1.1798*0.15*1.15)/165.6</f>
        <v>4.6454625</v>
      </c>
      <c r="F230" s="88">
        <f>($O$9*1.1798*0.08*1.15)/165.6</f>
        <v>2.47758</v>
      </c>
      <c r="G230" s="58"/>
      <c r="H230" s="57"/>
      <c r="I230" s="57"/>
      <c r="J230" s="218"/>
      <c r="K230" s="217"/>
      <c r="L230" s="50"/>
      <c r="M230" s="50"/>
      <c r="N230" s="48"/>
    </row>
    <row r="231" spans="1:14" ht="14.25" hidden="1">
      <c r="A231" s="48"/>
      <c r="B231" s="51" t="s">
        <v>158</v>
      </c>
      <c r="C231" s="86"/>
      <c r="D231" s="86"/>
      <c r="E231" s="86"/>
      <c r="F231" s="48"/>
      <c r="G231" s="58"/>
      <c r="H231" s="57"/>
      <c r="I231" s="57"/>
      <c r="J231" s="218"/>
      <c r="K231" s="217"/>
      <c r="L231" s="50"/>
      <c r="M231" s="50"/>
      <c r="N231" s="48"/>
    </row>
    <row r="232" spans="1:14" ht="14.25" hidden="1">
      <c r="A232" s="48"/>
      <c r="B232" s="59">
        <v>50</v>
      </c>
      <c r="C232" s="86">
        <v>2.208</v>
      </c>
      <c r="D232" s="88">
        <f>$D$44*C232</f>
        <v>102.57181200000001</v>
      </c>
      <c r="E232" s="88">
        <f>$E$44*C232</f>
        <v>10.2571812</v>
      </c>
      <c r="F232" s="88">
        <f>$F$44*C232</f>
        <v>5.47049664</v>
      </c>
      <c r="G232" s="58">
        <f>(D232+E232+F232)*$G$14</f>
        <v>40.458425525280006</v>
      </c>
      <c r="H232" s="57">
        <f>SUM(D232:G232)</f>
        <v>158.75791536528</v>
      </c>
      <c r="I232" s="57">
        <f>H232*0.1</f>
        <v>15.875791536528002</v>
      </c>
      <c r="J232" s="218">
        <f>(D232+E232+F232)*$J$15</f>
        <v>27.445481642880004</v>
      </c>
      <c r="K232" s="218">
        <f>(D232+E232+F232)*$K$205</f>
        <v>80.68025207088002</v>
      </c>
      <c r="L232" s="57">
        <f>(H232+I232+J232+K232)*$L$15</f>
        <v>56.5518881231136</v>
      </c>
      <c r="M232" s="57">
        <f>SUM(H232:L232)</f>
        <v>339.3113287386816</v>
      </c>
      <c r="N232" s="58">
        <f>M232+M232*$N$15</f>
        <v>400.3873679116443</v>
      </c>
    </row>
    <row r="233" spans="1:14" ht="14.25" hidden="1">
      <c r="A233" s="48"/>
      <c r="B233" s="59">
        <v>100</v>
      </c>
      <c r="C233" s="86">
        <v>2.335</v>
      </c>
      <c r="D233" s="88">
        <f>$D$44*C233</f>
        <v>108.471549375</v>
      </c>
      <c r="E233" s="88">
        <f>$E$44*C233</f>
        <v>10.8471549375</v>
      </c>
      <c r="F233" s="88">
        <f>$F$44*C233</f>
        <v>5.7851493000000005</v>
      </c>
      <c r="G233" s="58">
        <f>(D233+E233+F233)*$G$14</f>
        <v>42.785517935475</v>
      </c>
      <c r="H233" s="57">
        <f>SUM(D233:G233)</f>
        <v>167.88937154797497</v>
      </c>
      <c r="I233" s="57">
        <f>H233*0.1</f>
        <v>16.788937154797498</v>
      </c>
      <c r="J233" s="218">
        <f>(D233+E233+F233)*$J$15</f>
        <v>29.0240940381</v>
      </c>
      <c r="K233" s="218">
        <f>(D233+E233+F233)*$K$205</f>
        <v>85.320828163725</v>
      </c>
      <c r="L233" s="57">
        <f>(H233+I233+J233+K233)*$L$15</f>
        <v>59.8046461809195</v>
      </c>
      <c r="M233" s="57">
        <f>SUM(H233:L233)</f>
        <v>358.827877085517</v>
      </c>
      <c r="N233" s="58">
        <f>M233+M233*$N$15</f>
        <v>423.41689496091004</v>
      </c>
    </row>
    <row r="234" spans="1:14" ht="14.25" hidden="1">
      <c r="A234" s="48"/>
      <c r="B234" s="59">
        <v>150</v>
      </c>
      <c r="C234" s="86">
        <v>3.37</v>
      </c>
      <c r="D234" s="88">
        <f>$D$44*C234</f>
        <v>156.55208625</v>
      </c>
      <c r="E234" s="88">
        <f>$E$44*C234</f>
        <v>15.655208625</v>
      </c>
      <c r="F234" s="88">
        <f>$F$44*C234</f>
        <v>8.3494446</v>
      </c>
      <c r="G234" s="58">
        <f>(D234+E234+F234)*$G$14</f>
        <v>61.75040490045001</v>
      </c>
      <c r="H234" s="57">
        <f>SUM(D234:G234)</f>
        <v>242.30714437545</v>
      </c>
      <c r="I234" s="57">
        <f>H234*0.1</f>
        <v>24.230714437545004</v>
      </c>
      <c r="J234" s="218">
        <f>(D234+E234+F234)*$J$15</f>
        <v>41.8891635582</v>
      </c>
      <c r="K234" s="218">
        <f>(D234+E234+F234)*$K$205</f>
        <v>123.13969632195001</v>
      </c>
      <c r="L234" s="57">
        <f>(H234+I234+J234+K234)*$L$15</f>
        <v>86.313343738629</v>
      </c>
      <c r="M234" s="57">
        <f>SUM(H234:L234)</f>
        <v>517.880062431774</v>
      </c>
      <c r="N234" s="58">
        <f>M234+M234*$N$15</f>
        <v>611.0984736694934</v>
      </c>
    </row>
    <row r="235" spans="1:14" ht="15" hidden="1">
      <c r="A235" s="86">
        <v>4</v>
      </c>
      <c r="B235" s="91" t="s">
        <v>157</v>
      </c>
      <c r="C235" s="86"/>
      <c r="D235" s="86"/>
      <c r="E235" s="86"/>
      <c r="F235" s="86"/>
      <c r="G235" s="88"/>
      <c r="H235" s="89"/>
      <c r="I235" s="89"/>
      <c r="J235" s="218"/>
      <c r="K235" s="217"/>
      <c r="L235" s="92"/>
      <c r="M235" s="92"/>
      <c r="N235" s="86"/>
    </row>
    <row r="236" spans="1:14" ht="15" hidden="1">
      <c r="A236" s="48"/>
      <c r="B236" s="53" t="s">
        <v>222</v>
      </c>
      <c r="C236" s="86"/>
      <c r="D236" s="86"/>
      <c r="E236" s="86"/>
      <c r="F236" s="48"/>
      <c r="G236" s="58"/>
      <c r="H236" s="57"/>
      <c r="I236" s="57"/>
      <c r="J236" s="218"/>
      <c r="K236" s="217"/>
      <c r="L236" s="50"/>
      <c r="M236" s="50"/>
      <c r="N236" s="48"/>
    </row>
    <row r="237" spans="1:14" ht="14.25" hidden="1">
      <c r="A237" s="48"/>
      <c r="B237" s="51" t="s">
        <v>221</v>
      </c>
      <c r="C237" s="86">
        <f>(1.268-1.142)/10*2+1.142</f>
        <v>1.1672</v>
      </c>
      <c r="D237" s="88">
        <f>($O$9*1.1672*1.5*1.15)/165.6</f>
        <v>45.958499999999994</v>
      </c>
      <c r="E237" s="88">
        <f>($O$9*1.1672*0.15*1.15)/165.6</f>
        <v>4.5958499999999995</v>
      </c>
      <c r="F237" s="88">
        <f>($O$9*1.1672*0.08*1.15)/165.6</f>
        <v>2.45112</v>
      </c>
      <c r="G237" s="58"/>
      <c r="H237" s="57"/>
      <c r="I237" s="57"/>
      <c r="J237" s="218"/>
      <c r="K237" s="217"/>
      <c r="L237" s="50"/>
      <c r="M237" s="50"/>
      <c r="N237" s="48"/>
    </row>
    <row r="238" spans="1:14" ht="14.25" hidden="1">
      <c r="A238" s="48"/>
      <c r="B238" s="51" t="s">
        <v>158</v>
      </c>
      <c r="C238" s="86"/>
      <c r="D238" s="86"/>
      <c r="E238" s="86"/>
      <c r="F238" s="48"/>
      <c r="G238" s="58"/>
      <c r="H238" s="57"/>
      <c r="I238" s="57"/>
      <c r="J238" s="218"/>
      <c r="K238" s="217"/>
      <c r="L238" s="50"/>
      <c r="M238" s="50"/>
      <c r="N238" s="48"/>
    </row>
    <row r="239" spans="1:14" ht="14.25" hidden="1">
      <c r="A239" s="48"/>
      <c r="B239" s="59">
        <v>50</v>
      </c>
      <c r="C239" s="86">
        <v>1.149</v>
      </c>
      <c r="D239" s="88">
        <f>$D$52*C239</f>
        <v>52.806316499999994</v>
      </c>
      <c r="E239" s="88">
        <f>$E$52*C239</f>
        <v>5.280631649999999</v>
      </c>
      <c r="F239" s="88">
        <f>$F$52*C239</f>
        <v>2.81633688</v>
      </c>
      <c r="G239" s="58">
        <f>(D239+E239+F239)*$G$14</f>
        <v>20.82892348026</v>
      </c>
      <c r="H239" s="57">
        <f>SUM(D239:G239)</f>
        <v>81.73220851026</v>
      </c>
      <c r="I239" s="57">
        <f>H239*0.1</f>
        <v>8.173220851026</v>
      </c>
      <c r="J239" s="218">
        <f>(D239+E239+F239)*$J$15</f>
        <v>14.129562126959998</v>
      </c>
      <c r="K239" s="218">
        <f>(D239+E239+F239)*$K$205</f>
        <v>41.536040390459995</v>
      </c>
      <c r="L239" s="57">
        <f>(H239+I239+J239+K239)*$L$15</f>
        <v>29.114206375741198</v>
      </c>
      <c r="M239" s="57">
        <f>SUM(H239:L239)</f>
        <v>174.68523825444717</v>
      </c>
      <c r="N239" s="58">
        <f>M239+M239*$N$15</f>
        <v>206.12858114024766</v>
      </c>
    </row>
    <row r="240" spans="1:14" ht="14.25" hidden="1">
      <c r="A240" s="61"/>
      <c r="B240" s="77">
        <v>100</v>
      </c>
      <c r="C240" s="96">
        <v>1.102</v>
      </c>
      <c r="D240" s="98">
        <f>$D$52*C240</f>
        <v>50.646266999999995</v>
      </c>
      <c r="E240" s="98">
        <f>$E$52*C240</f>
        <v>5.0646267</v>
      </c>
      <c r="F240" s="88">
        <f>$F$52*C240</f>
        <v>2.70113424</v>
      </c>
      <c r="G240" s="58">
        <f>(D240+E240+F240)*$G$14</f>
        <v>19.97691355548</v>
      </c>
      <c r="H240" s="67">
        <f>SUM(D240:G240)</f>
        <v>78.38894149548</v>
      </c>
      <c r="I240" s="67">
        <f>H240*0.1</f>
        <v>7.8388941495480005</v>
      </c>
      <c r="J240" s="218">
        <f>(D240+E240+F240)*$J$15</f>
        <v>13.55159048208</v>
      </c>
      <c r="K240" s="218">
        <f>(D240+E240+F240)*$K$205</f>
        <v>39.83700305508</v>
      </c>
      <c r="L240" s="57">
        <f>(H240+I240+J240+K240)*$L$15</f>
        <v>27.9232858364376</v>
      </c>
      <c r="M240" s="67">
        <f>SUM(H240:L240)</f>
        <v>167.5397150186256</v>
      </c>
      <c r="N240" s="58">
        <f>M240+M240*$N$15</f>
        <v>197.69686372197822</v>
      </c>
    </row>
    <row r="241" spans="1:14" ht="15" hidden="1">
      <c r="A241" s="48">
        <v>5</v>
      </c>
      <c r="B241" s="53" t="s">
        <v>133</v>
      </c>
      <c r="C241" s="86">
        <f>(1.142-1.09)/10*5+1.09</f>
        <v>1.116</v>
      </c>
      <c r="D241" s="86"/>
      <c r="E241" s="86"/>
      <c r="F241" s="48"/>
      <c r="G241" s="55"/>
      <c r="H241" s="56"/>
      <c r="I241" s="56"/>
      <c r="J241" s="219"/>
      <c r="K241" s="217"/>
      <c r="L241" s="50"/>
      <c r="M241" s="50"/>
      <c r="N241" s="48"/>
    </row>
    <row r="242" spans="1:14" ht="14.25" hidden="1">
      <c r="A242" s="48"/>
      <c r="B242" s="51" t="s">
        <v>207</v>
      </c>
      <c r="C242" s="86">
        <v>0.89</v>
      </c>
      <c r="D242" s="88">
        <f>($O$9*1.08*1.116*1.5*1.15)/165.6*C242</f>
        <v>42.237531000000004</v>
      </c>
      <c r="E242" s="88">
        <f>($O$9*1.08*1.116*0.15*1.15)/165.6*C242</f>
        <v>4.223753100000001</v>
      </c>
      <c r="F242" s="88"/>
      <c r="G242" s="58">
        <f>(D242+E242+F242)*$G$14</f>
        <v>15.889759162200004</v>
      </c>
      <c r="H242" s="57">
        <f>SUM(D242:G242)</f>
        <v>62.35104326220001</v>
      </c>
      <c r="I242" s="57">
        <f>H242*0.1</f>
        <v>6.235104326220001</v>
      </c>
      <c r="J242" s="218">
        <f>(D242+E242+F242)*$J$15</f>
        <v>10.779017911200002</v>
      </c>
      <c r="K242" s="218">
        <f>(D242+E242+F242)*$K$205</f>
        <v>31.686595756200006</v>
      </c>
      <c r="L242" s="57">
        <f>(H242+I242+J242+K242)*$L$15</f>
        <v>22.210352251164004</v>
      </c>
      <c r="M242" s="57">
        <f>SUM(H242:L242)</f>
        <v>133.262113506984</v>
      </c>
      <c r="N242" s="58">
        <f>M242+M242*$N$15</f>
        <v>157.24929393824112</v>
      </c>
    </row>
    <row r="243" spans="1:14" ht="15" hidden="1">
      <c r="A243" s="48">
        <v>6</v>
      </c>
      <c r="B243" s="53" t="s">
        <v>136</v>
      </c>
      <c r="C243" s="86"/>
      <c r="D243" s="86"/>
      <c r="E243" s="86"/>
      <c r="F243" s="48"/>
      <c r="G243" s="55"/>
      <c r="H243" s="56"/>
      <c r="I243" s="56"/>
      <c r="J243" s="219"/>
      <c r="K243" s="217"/>
      <c r="L243" s="50"/>
      <c r="M243" s="50"/>
      <c r="N243" s="48"/>
    </row>
    <row r="244" spans="1:14" ht="15" hidden="1">
      <c r="A244" s="48"/>
      <c r="B244" s="53" t="s">
        <v>137</v>
      </c>
      <c r="C244" s="86">
        <f>(1.09-1.04)/10*5+1.04</f>
        <v>1.065</v>
      </c>
      <c r="D244" s="86"/>
      <c r="E244" s="86"/>
      <c r="F244" s="48"/>
      <c r="G244" s="55"/>
      <c r="H244" s="56"/>
      <c r="I244" s="56"/>
      <c r="J244" s="219"/>
      <c r="K244" s="217"/>
      <c r="L244" s="50"/>
      <c r="M244" s="50"/>
      <c r="N244" s="48"/>
    </row>
    <row r="245" spans="1:14" ht="14.25" hidden="1">
      <c r="A245" s="48"/>
      <c r="B245" s="51" t="s">
        <v>138</v>
      </c>
      <c r="C245" s="86">
        <v>0.32</v>
      </c>
      <c r="D245" s="88">
        <f>($O$9*1.08*1.065*1.5*1.15)/165.6*C245</f>
        <v>14.492519999999999</v>
      </c>
      <c r="E245" s="88">
        <f>($O$9*1.08*1.116*0.15*1.15)/165.6*C245</f>
        <v>1.5186528000000001</v>
      </c>
      <c r="F245" s="58"/>
      <c r="G245" s="58">
        <f>(D245+E245+F245)*$G$14</f>
        <v>5.475821097600001</v>
      </c>
      <c r="H245" s="57">
        <f>SUM(D245:G245)</f>
        <v>21.4869938976</v>
      </c>
      <c r="I245" s="57">
        <f>H245*0.1</f>
        <v>2.1486993897600004</v>
      </c>
      <c r="J245" s="218">
        <f>(D245+E245+F245)*$J$15</f>
        <v>3.7145920896000004</v>
      </c>
      <c r="K245" s="218">
        <f>(D245+E245+F245)*$K$205</f>
        <v>10.919619849600002</v>
      </c>
      <c r="L245" s="57">
        <f>(H245+I245+J245+K245)*$L$15</f>
        <v>7.653981045312001</v>
      </c>
      <c r="M245" s="57">
        <f>SUM(H245:L245)</f>
        <v>45.92388627187201</v>
      </c>
      <c r="N245" s="58">
        <f>M245+M245*$N$205</f>
        <v>54.19018580080897</v>
      </c>
    </row>
    <row r="246" spans="1:14" ht="15" hidden="1">
      <c r="A246" s="90">
        <v>7</v>
      </c>
      <c r="B246" s="111" t="s">
        <v>135</v>
      </c>
      <c r="C246" s="90"/>
      <c r="D246" s="90"/>
      <c r="E246" s="90"/>
      <c r="F246" s="90"/>
      <c r="G246" s="101"/>
      <c r="H246" s="102"/>
      <c r="I246" s="102"/>
      <c r="J246" s="222"/>
      <c r="K246" s="223"/>
      <c r="L246" s="112"/>
      <c r="M246" s="112"/>
      <c r="N246" s="113"/>
    </row>
    <row r="247" spans="1:14" ht="14.25" hidden="1">
      <c r="A247" s="48"/>
      <c r="B247" s="51" t="s">
        <v>203</v>
      </c>
      <c r="C247" s="86">
        <v>0.87</v>
      </c>
      <c r="D247" s="88">
        <f>($O$9*1.08*1.09*1.5*1.15)/165.6*C247</f>
        <v>40.326457500000004</v>
      </c>
      <c r="E247" s="88">
        <f>($O$9*1.08*1.09*0.15*1.15)/165.6*C247</f>
        <v>4.032645750000001</v>
      </c>
      <c r="F247" s="58"/>
      <c r="G247" s="58">
        <f>(D247+E247+F247)*$G$14</f>
        <v>15.170813311500002</v>
      </c>
      <c r="H247" s="57">
        <f>SUM(D247:G247)</f>
        <v>59.5299165615</v>
      </c>
      <c r="I247" s="57">
        <f>H247*0.1</f>
        <v>5.952991656150001</v>
      </c>
      <c r="J247" s="218">
        <f>(D247+E247+F247)*$J$15</f>
        <v>10.291311954000001</v>
      </c>
      <c r="K247" s="218">
        <f>(D247+E247+F247)*$K$15</f>
        <v>34.600100535</v>
      </c>
      <c r="L247" s="57">
        <f>(H247+I247+J247+K247)*$L$15</f>
        <v>22.07486414133</v>
      </c>
      <c r="M247" s="57">
        <f>SUM(H247:L247)</f>
        <v>132.44918484798</v>
      </c>
      <c r="N247" s="58">
        <f>M247+M247*$N$15</f>
        <v>156.2900381206164</v>
      </c>
    </row>
    <row r="248" spans="1:14" ht="15" hidden="1">
      <c r="A248" s="86">
        <v>8</v>
      </c>
      <c r="B248" s="91" t="s">
        <v>271</v>
      </c>
      <c r="C248" s="86"/>
      <c r="D248" s="86"/>
      <c r="E248" s="86"/>
      <c r="F248" s="86"/>
      <c r="G248" s="93"/>
      <c r="H248" s="94"/>
      <c r="I248" s="94"/>
      <c r="J248" s="219"/>
      <c r="K248" s="217"/>
      <c r="L248" s="92"/>
      <c r="M248" s="92"/>
      <c r="N248" s="86"/>
    </row>
    <row r="249" spans="1:14" ht="15" hidden="1">
      <c r="A249" s="48"/>
      <c r="B249" s="53" t="s">
        <v>272</v>
      </c>
      <c r="C249" s="86"/>
      <c r="D249" s="86"/>
      <c r="E249" s="86"/>
      <c r="F249" s="48"/>
      <c r="G249" s="55"/>
      <c r="H249" s="56"/>
      <c r="I249" s="56"/>
      <c r="J249" s="219"/>
      <c r="K249" s="217"/>
      <c r="L249" s="50"/>
      <c r="M249" s="50"/>
      <c r="N249" s="48"/>
    </row>
    <row r="250" spans="1:14" ht="14.25" hidden="1">
      <c r="A250" s="48"/>
      <c r="B250" s="51" t="s">
        <v>203</v>
      </c>
      <c r="C250" s="86"/>
      <c r="D250" s="88">
        <f>($O$9*1.08*1.09*1.5*1.15)/166</f>
        <v>46.240557831325305</v>
      </c>
      <c r="E250" s="88">
        <f>($O$9*1.08*1.09*0.15*1.15)/165.6</f>
        <v>4.635225000000001</v>
      </c>
      <c r="F250" s="88"/>
      <c r="G250" s="55"/>
      <c r="H250" s="56"/>
      <c r="I250" s="56"/>
      <c r="J250" s="219"/>
      <c r="K250" s="217"/>
      <c r="L250" s="50"/>
      <c r="M250" s="50"/>
      <c r="N250" s="48"/>
    </row>
    <row r="251" spans="1:14" ht="14.25" hidden="1">
      <c r="A251" s="86"/>
      <c r="B251" s="87" t="s">
        <v>273</v>
      </c>
      <c r="C251" s="86">
        <v>0.43</v>
      </c>
      <c r="D251" s="88">
        <f>C251*$D$67</f>
        <v>19.883439867469882</v>
      </c>
      <c r="E251" s="88">
        <f>C251*$E$67</f>
        <v>1.9931467500000004</v>
      </c>
      <c r="F251" s="88"/>
      <c r="G251" s="58">
        <f>(D251+E251+F251)*$G$14</f>
        <v>7.481792623174701</v>
      </c>
      <c r="H251" s="89">
        <f>SUM(D251:G251)</f>
        <v>29.358379240644584</v>
      </c>
      <c r="I251" s="89">
        <f>H251*0.1</f>
        <v>2.9358379240644585</v>
      </c>
      <c r="J251" s="218">
        <f>(D251+E251+F251)*$J$15</f>
        <v>5.075368095253013</v>
      </c>
      <c r="K251" s="218">
        <f>(D251+E251+F251)*$K$15</f>
        <v>17.06373756162651</v>
      </c>
      <c r="L251" s="57">
        <f>(H251+I251+J251+K251)*$L$15</f>
        <v>10.886664564317714</v>
      </c>
      <c r="M251" s="89">
        <f>SUM(H251:L251)</f>
        <v>65.31998738590629</v>
      </c>
      <c r="N251" s="58">
        <f>M251+M251*$N$15</f>
        <v>77.07758511536942</v>
      </c>
    </row>
    <row r="252" spans="1:14" ht="14.25" hidden="1">
      <c r="A252" s="86"/>
      <c r="B252" s="87" t="s">
        <v>274</v>
      </c>
      <c r="C252" s="86">
        <v>0.53</v>
      </c>
      <c r="D252" s="88">
        <f>C252*$D$67</f>
        <v>24.50749565060241</v>
      </c>
      <c r="E252" s="88">
        <f>C252*$E$67</f>
        <v>2.4566692500000005</v>
      </c>
      <c r="F252" s="88"/>
      <c r="G252" s="58">
        <f>(D252+E252+F252)*$G$14</f>
        <v>9.221744396006025</v>
      </c>
      <c r="H252" s="89">
        <f>SUM(D252:G252)</f>
        <v>36.185909296608436</v>
      </c>
      <c r="I252" s="89">
        <f>H252*0.1</f>
        <v>3.6185909296608436</v>
      </c>
      <c r="J252" s="218">
        <f>(D252+E252+F252)*$J$15</f>
        <v>6.25568625693976</v>
      </c>
      <c r="K252" s="218">
        <f>(D252+E252+F252)*$K$15</f>
        <v>21.032048622469883</v>
      </c>
      <c r="L252" s="57">
        <f>(H252+I252+J252+K252)*$L$15</f>
        <v>13.418447021135785</v>
      </c>
      <c r="M252" s="89">
        <f>SUM(H252:L252)</f>
        <v>80.51068212681471</v>
      </c>
      <c r="N252" s="58">
        <f>M252+M252*$N$15</f>
        <v>95.00260490964136</v>
      </c>
    </row>
    <row r="253" spans="1:14" ht="15" hidden="1">
      <c r="A253" s="86">
        <v>9</v>
      </c>
      <c r="B253" s="91" t="s">
        <v>185</v>
      </c>
      <c r="C253" s="86"/>
      <c r="D253" s="88"/>
      <c r="E253" s="88"/>
      <c r="F253" s="88"/>
      <c r="G253" s="88"/>
      <c r="H253" s="89"/>
      <c r="I253" s="89"/>
      <c r="J253" s="218"/>
      <c r="K253" s="218"/>
      <c r="L253" s="89"/>
      <c r="M253" s="89"/>
      <c r="N253" s="88"/>
    </row>
    <row r="254" spans="1:14" ht="14.25" hidden="1">
      <c r="A254" s="48"/>
      <c r="B254" s="51" t="s">
        <v>215</v>
      </c>
      <c r="C254" s="86">
        <f>(1.142-1.09)/10*6+1.09</f>
        <v>1.1212</v>
      </c>
      <c r="D254" s="88">
        <f>($O$9*1.08*C254*1.5*1.15)/166</f>
        <v>47.56414077108433</v>
      </c>
      <c r="E254" s="88">
        <f>($O$9*1.08*1.1212*0.15*1.15)/165.6</f>
        <v>4.7679030000000004</v>
      </c>
      <c r="F254" s="58"/>
      <c r="G254" s="55"/>
      <c r="H254" s="56"/>
      <c r="I254" s="56"/>
      <c r="J254" s="219"/>
      <c r="K254" s="217"/>
      <c r="L254" s="50"/>
      <c r="M254" s="50"/>
      <c r="N254" s="48"/>
    </row>
    <row r="255" spans="1:14" ht="14.25" hidden="1">
      <c r="A255" s="48"/>
      <c r="B255" s="60" t="s">
        <v>186</v>
      </c>
      <c r="C255" s="86">
        <v>7.21</v>
      </c>
      <c r="D255" s="88">
        <f>$D$72*C255</f>
        <v>342.93745495951805</v>
      </c>
      <c r="E255" s="88">
        <f>$E$72*C255</f>
        <v>34.37658063000001</v>
      </c>
      <c r="F255" s="58"/>
      <c r="G255" s="58">
        <f>(D255+E255+F255)*$G$14</f>
        <v>129.0414001716152</v>
      </c>
      <c r="H255" s="57">
        <f>SUM(D255:G255)</f>
        <v>506.3554357611333</v>
      </c>
      <c r="I255" s="57">
        <f>H255*0.1</f>
        <v>50.635543576113335</v>
      </c>
      <c r="J255" s="218">
        <f>(D255+E255+F255)*$J$15</f>
        <v>87.5368562567682</v>
      </c>
      <c r="K255" s="218">
        <f>(D255+E255+F255)*$K$15</f>
        <v>294.30494775982413</v>
      </c>
      <c r="L255" s="57">
        <f>(H255+I255+J255+K255)*$L$15</f>
        <v>187.76655667076784</v>
      </c>
      <c r="M255" s="57">
        <f>SUM(H255:L255)</f>
        <v>1126.599340024607</v>
      </c>
      <c r="N255" s="58">
        <f>M255+M255*$N$15</f>
        <v>1329.3872212290362</v>
      </c>
    </row>
    <row r="256" spans="1:14" ht="14.25" hidden="1">
      <c r="A256" s="48"/>
      <c r="B256" s="60" t="s">
        <v>187</v>
      </c>
      <c r="C256" s="86">
        <v>6.71</v>
      </c>
      <c r="D256" s="88">
        <f>$D$72*C256</f>
        <v>319.1553845739759</v>
      </c>
      <c r="E256" s="88">
        <f>$E$72*C256</f>
        <v>31.992629130000005</v>
      </c>
      <c r="F256" s="58"/>
      <c r="G256" s="58">
        <f>(D256+E256+F256)*$G$14</f>
        <v>120.09262068675976</v>
      </c>
      <c r="H256" s="57">
        <f>SUM(D256:G256)</f>
        <v>471.24063439073564</v>
      </c>
      <c r="I256" s="57">
        <f>H256*0.1</f>
        <v>47.124063439073566</v>
      </c>
      <c r="J256" s="218">
        <f>(D256+E256+F256)*$J$15</f>
        <v>81.46633917932242</v>
      </c>
      <c r="K256" s="218">
        <f>(D256+E256+F256)*$K$15</f>
        <v>273.8954506891012</v>
      </c>
      <c r="L256" s="57">
        <f>(H256+I256+J256+K256)*$L$15</f>
        <v>174.74529753964657</v>
      </c>
      <c r="M256" s="57">
        <f>SUM(H256:L256)</f>
        <v>1048.4717852378794</v>
      </c>
      <c r="N256" s="58">
        <f>M256+M256*$N$15</f>
        <v>1237.1967065806978</v>
      </c>
    </row>
    <row r="257" spans="1:14" ht="15" hidden="1">
      <c r="A257" s="86">
        <v>10</v>
      </c>
      <c r="B257" s="91" t="s">
        <v>210</v>
      </c>
      <c r="C257" s="86"/>
      <c r="D257" s="88"/>
      <c r="E257" s="86"/>
      <c r="F257" s="86"/>
      <c r="G257" s="93"/>
      <c r="H257" s="94"/>
      <c r="I257" s="94"/>
      <c r="J257" s="219"/>
      <c r="K257" s="217"/>
      <c r="L257" s="92"/>
      <c r="M257" s="92"/>
      <c r="N257" s="86"/>
    </row>
    <row r="258" spans="1:14" ht="14.25" hidden="1">
      <c r="A258" s="48"/>
      <c r="B258" s="51" t="s">
        <v>207</v>
      </c>
      <c r="C258" s="86">
        <v>0.546</v>
      </c>
      <c r="D258" s="88">
        <f>($O$9*1.08*1.116*1.5*1.15)/166*C258</f>
        <v>25.84957481349398</v>
      </c>
      <c r="E258" s="88">
        <f>($O$9*1.08*1.116*0.15*1.15)/165.6*C258</f>
        <v>2.5912013400000005</v>
      </c>
      <c r="F258" s="58"/>
      <c r="G258" s="58">
        <f>(D258+E258+F258)*$G$14</f>
        <v>9.726745444494943</v>
      </c>
      <c r="H258" s="57">
        <f>SUM(D258:G258)</f>
        <v>38.16752159798892</v>
      </c>
      <c r="I258" s="57">
        <f>H258*0.1</f>
        <v>3.8167521597988925</v>
      </c>
      <c r="J258" s="218">
        <f>(D258+E258+F258)*$J$15</f>
        <v>6.598260067610604</v>
      </c>
      <c r="K258" s="218">
        <f>(D258+E258+F258)*$K$15</f>
        <v>22.183805399725305</v>
      </c>
      <c r="L258" s="57">
        <f>(H258+I258+J258+K258)*$L$15</f>
        <v>14.153267845024747</v>
      </c>
      <c r="M258" s="57">
        <f>SUM(H258:L258)</f>
        <v>84.91960707014847</v>
      </c>
      <c r="N258" s="58">
        <f>M258+M258*$N$15</f>
        <v>100.2051363427752</v>
      </c>
    </row>
    <row r="259" spans="1:14" ht="15" hidden="1">
      <c r="A259" s="48">
        <v>11</v>
      </c>
      <c r="B259" s="53" t="s">
        <v>211</v>
      </c>
      <c r="C259" s="86"/>
      <c r="D259" s="88"/>
      <c r="E259" s="88"/>
      <c r="F259" s="58"/>
      <c r="G259" s="55"/>
      <c r="H259" s="56"/>
      <c r="I259" s="56"/>
      <c r="J259" s="219"/>
      <c r="K259" s="217"/>
      <c r="L259" s="50"/>
      <c r="M259" s="50"/>
      <c r="N259" s="48"/>
    </row>
    <row r="260" spans="1:14" ht="14.25" hidden="1">
      <c r="A260" s="48"/>
      <c r="B260" s="51" t="s">
        <v>212</v>
      </c>
      <c r="C260" s="86">
        <v>1.24</v>
      </c>
      <c r="D260" s="88">
        <f>($O$9*1.08*1.142*1.5*1.15)/166*C260</f>
        <v>60.07369645301205</v>
      </c>
      <c r="E260" s="88">
        <f>($O$9*1.08*1.142*0.15*1.15)/165.6*C260</f>
        <v>6.0218802</v>
      </c>
      <c r="F260" s="58"/>
      <c r="G260" s="58">
        <f>(D260+E260+F260)*$G$14</f>
        <v>22.60468721533012</v>
      </c>
      <c r="H260" s="57">
        <f>SUM(D260:G260)</f>
        <v>88.70026386834216</v>
      </c>
      <c r="I260" s="57">
        <f>H260*0.1</f>
        <v>8.870026386834217</v>
      </c>
      <c r="J260" s="218">
        <f>(D260+E260+F260)*$J$15</f>
        <v>15.334173783498795</v>
      </c>
      <c r="K260" s="218">
        <f>(D260+E260+F260)*$K$15</f>
        <v>51.554549789349394</v>
      </c>
      <c r="L260" s="57">
        <f>(H260+I260+J260+K260)*$L$15</f>
        <v>32.891802765604915</v>
      </c>
      <c r="M260" s="57">
        <f>SUM(H260:L260)</f>
        <v>197.3508165936295</v>
      </c>
      <c r="N260" s="58">
        <f>M260+M260*$N$15</f>
        <v>232.8739635804828</v>
      </c>
    </row>
    <row r="261" spans="1:14" ht="15" hidden="1">
      <c r="A261" s="86">
        <v>12</v>
      </c>
      <c r="B261" s="91" t="s">
        <v>160</v>
      </c>
      <c r="C261" s="86"/>
      <c r="D261" s="86"/>
      <c r="E261" s="86"/>
      <c r="F261" s="86"/>
      <c r="G261" s="93"/>
      <c r="H261" s="94"/>
      <c r="I261" s="94"/>
      <c r="J261" s="219"/>
      <c r="K261" s="217"/>
      <c r="L261" s="92"/>
      <c r="M261" s="92"/>
      <c r="N261" s="86"/>
    </row>
    <row r="262" spans="1:14" ht="14.25" hidden="1">
      <c r="A262" s="48"/>
      <c r="B262" s="51" t="s">
        <v>132</v>
      </c>
      <c r="C262" s="86"/>
      <c r="D262" s="86"/>
      <c r="E262" s="86"/>
      <c r="F262" s="48"/>
      <c r="G262" s="55"/>
      <c r="H262" s="56"/>
      <c r="I262" s="56"/>
      <c r="J262" s="219"/>
      <c r="K262" s="217"/>
      <c r="L262" s="50"/>
      <c r="M262" s="50"/>
      <c r="N262" s="48"/>
    </row>
    <row r="263" spans="1:14" ht="14.25" hidden="1">
      <c r="A263" s="48"/>
      <c r="B263" s="51" t="s">
        <v>175</v>
      </c>
      <c r="C263" s="86"/>
      <c r="D263" s="86"/>
      <c r="E263" s="86"/>
      <c r="F263" s="48"/>
      <c r="G263" s="55"/>
      <c r="H263" s="56"/>
      <c r="I263" s="56"/>
      <c r="J263" s="219"/>
      <c r="K263" s="217"/>
      <c r="L263" s="50"/>
      <c r="M263" s="50"/>
      <c r="N263" s="48"/>
    </row>
    <row r="264" spans="1:14" ht="14.25" hidden="1">
      <c r="A264" s="48"/>
      <c r="B264" s="59">
        <v>50</v>
      </c>
      <c r="C264" s="86">
        <v>1.2</v>
      </c>
      <c r="D264" s="88">
        <f>($O$9*1.08*1.1212*1.5*1.15)/166*C264</f>
        <v>57.076968925301195</v>
      </c>
      <c r="E264" s="88">
        <f>($O$9*1.08*1.1212*0.15*1.15)/165.6*C264</f>
        <v>5.7214836</v>
      </c>
      <c r="F264" s="58"/>
      <c r="G264" s="58">
        <f>(D264+E264+F264)*$G$14</f>
        <v>21.47707076365301</v>
      </c>
      <c r="H264" s="57">
        <f>SUM(D264:G264)</f>
        <v>84.2755232889542</v>
      </c>
      <c r="I264" s="57">
        <f>H264*0.1</f>
        <v>8.427552328895421</v>
      </c>
      <c r="J264" s="218">
        <f>(D264+E264+F264)*$J$15</f>
        <v>14.569240985869877</v>
      </c>
      <c r="K264" s="218">
        <f>(D264+E264+F264)*$K$15</f>
        <v>48.98279296973493</v>
      </c>
      <c r="L264" s="57">
        <f>(H264+I264+J264+K264)*$L$15</f>
        <v>31.251021914690888</v>
      </c>
      <c r="M264" s="57">
        <f>SUM(H264:L264)</f>
        <v>187.50613148814531</v>
      </c>
      <c r="N264" s="58">
        <f>M264+M264*$N$15</f>
        <v>221.25723515601146</v>
      </c>
    </row>
    <row r="265" spans="1:14" ht="14.25" hidden="1">
      <c r="A265" s="48"/>
      <c r="B265" s="59">
        <v>100</v>
      </c>
      <c r="C265" s="86">
        <v>2.92</v>
      </c>
      <c r="D265" s="88">
        <f>($O$9*1.08*1.1212*1.5*1.15)/166*C265</f>
        <v>138.88729105156625</v>
      </c>
      <c r="E265" s="88">
        <f>($O$9*1.08*1.1212*0.15*1.15)/165.6*C265</f>
        <v>13.92227676</v>
      </c>
      <c r="F265" s="58"/>
      <c r="G265" s="58">
        <f>(D265+E265+F265)*$G$14</f>
        <v>52.260872191555656</v>
      </c>
      <c r="H265" s="57">
        <f>SUM(D265:G265)</f>
        <v>205.0704400031219</v>
      </c>
      <c r="I265" s="57">
        <f>H265*0.1</f>
        <v>20.50704400031219</v>
      </c>
      <c r="J265" s="218">
        <f>(D265+E265+F265)*$J$15</f>
        <v>35.45181973228337</v>
      </c>
      <c r="K265" s="218">
        <f>(D265+E265+F265)*$K$15</f>
        <v>119.19146289302167</v>
      </c>
      <c r="L265" s="57">
        <f>(H265+I265+J265+K265)*$L$15</f>
        <v>76.04415332574783</v>
      </c>
      <c r="M265" s="57">
        <f>SUM(H265:L265)</f>
        <v>456.2649199544869</v>
      </c>
      <c r="N265" s="58">
        <f>M265+M265*$N$15</f>
        <v>538.3926055462946</v>
      </c>
    </row>
    <row r="266" spans="1:14" ht="15" hidden="1">
      <c r="A266" s="86">
        <v>13</v>
      </c>
      <c r="B266" s="91" t="s">
        <v>161</v>
      </c>
      <c r="C266" s="86"/>
      <c r="D266" s="86"/>
      <c r="E266" s="86"/>
      <c r="F266" s="86"/>
      <c r="G266" s="93"/>
      <c r="H266" s="94"/>
      <c r="I266" s="94"/>
      <c r="J266" s="219"/>
      <c r="K266" s="217"/>
      <c r="L266" s="92"/>
      <c r="M266" s="92"/>
      <c r="N266" s="86"/>
    </row>
    <row r="267" spans="1:14" ht="14.25" hidden="1">
      <c r="A267" s="48"/>
      <c r="B267" s="51" t="s">
        <v>208</v>
      </c>
      <c r="C267" s="86">
        <v>0.39</v>
      </c>
      <c r="D267" s="88">
        <f>($O$9*1.08*1.116*1.5*1.15)/166*C267</f>
        <v>18.463982009638556</v>
      </c>
      <c r="E267" s="88">
        <f>($O$9*1.08*1.116*0.15*1.15)/165.6*C267</f>
        <v>1.8508581000000002</v>
      </c>
      <c r="F267" s="58"/>
      <c r="G267" s="58">
        <f>(D267+E267+F267)*$G$14</f>
        <v>6.947675317496387</v>
      </c>
      <c r="H267" s="57">
        <f>SUM(D267:G267)</f>
        <v>27.262515427134943</v>
      </c>
      <c r="I267" s="57">
        <f>H267*0.1</f>
        <v>2.7262515427134946</v>
      </c>
      <c r="J267" s="218">
        <f>(D267+E267+F267)*$J$15</f>
        <v>4.713042905436145</v>
      </c>
      <c r="K267" s="218">
        <f>(D267+E267+F267)*$K$15</f>
        <v>15.845575285518075</v>
      </c>
      <c r="L267" s="57">
        <f>(H267+I267+J267+K267)*$L$15</f>
        <v>10.109477032160532</v>
      </c>
      <c r="M267" s="57">
        <f>SUM(H267:L267)</f>
        <v>60.65686219296319</v>
      </c>
      <c r="N267" s="58">
        <f>M267+M267*$N$15</f>
        <v>71.57509738769656</v>
      </c>
    </row>
    <row r="268" spans="1:14" ht="15" hidden="1">
      <c r="A268" s="86">
        <v>14</v>
      </c>
      <c r="B268" s="91" t="s">
        <v>162</v>
      </c>
      <c r="C268" s="86"/>
      <c r="D268" s="86"/>
      <c r="E268" s="86"/>
      <c r="F268" s="86"/>
      <c r="G268" s="93"/>
      <c r="H268" s="94"/>
      <c r="I268" s="94"/>
      <c r="J268" s="219"/>
      <c r="K268" s="217"/>
      <c r="L268" s="92"/>
      <c r="M268" s="92"/>
      <c r="N268" s="86"/>
    </row>
    <row r="269" spans="1:14" ht="14.25" hidden="1">
      <c r="A269" s="48"/>
      <c r="B269" s="51" t="s">
        <v>209</v>
      </c>
      <c r="C269" s="86">
        <f>(1.268-1.142)/10*1+1.142</f>
        <v>1.1545999999999998</v>
      </c>
      <c r="D269" s="86"/>
      <c r="E269" s="86"/>
      <c r="F269" s="48"/>
      <c r="G269" s="55"/>
      <c r="H269" s="56"/>
      <c r="I269" s="56"/>
      <c r="J269" s="219"/>
      <c r="K269" s="217"/>
      <c r="L269" s="50"/>
      <c r="M269" s="50"/>
      <c r="N269" s="48"/>
    </row>
    <row r="270" spans="1:14" ht="14.25" hidden="1">
      <c r="A270" s="48"/>
      <c r="B270" s="60" t="s">
        <v>163</v>
      </c>
      <c r="C270" s="86">
        <v>2.67</v>
      </c>
      <c r="D270" s="88">
        <f>($O$9*1.08*1.1546*1.5*1.15)/166*C270</f>
        <v>130.77941224987956</v>
      </c>
      <c r="E270" s="88">
        <f>($O$9*1.08*1.1546*0.15*1.15)/165.6*C270</f>
        <v>13.109530455000002</v>
      </c>
      <c r="F270" s="58"/>
      <c r="G270" s="58">
        <f>(D270+E270+F270)*$G$14</f>
        <v>49.21001840506881</v>
      </c>
      <c r="H270" s="57">
        <f>SUM(D270:G270)</f>
        <v>193.09896110994836</v>
      </c>
      <c r="I270" s="57">
        <f>H270*0.1</f>
        <v>19.30989611099484</v>
      </c>
      <c r="J270" s="218">
        <f>(D270+E270+F270)*$J$15</f>
        <v>33.38223470753206</v>
      </c>
      <c r="K270" s="218">
        <f>(D270+E270+F270)*$K$15</f>
        <v>112.23337530980605</v>
      </c>
      <c r="L270" s="57">
        <f>(H270+I270+J270+K270)*$L$15</f>
        <v>71.60489344765627</v>
      </c>
      <c r="M270" s="57">
        <f>SUM(H270:L270)</f>
        <v>429.62936068593757</v>
      </c>
      <c r="N270" s="58">
        <f>M270+M270*$N$15</f>
        <v>506.9626456094063</v>
      </c>
    </row>
    <row r="271" spans="1:14" ht="14.25" hidden="1">
      <c r="A271" s="48"/>
      <c r="B271" s="60" t="s">
        <v>164</v>
      </c>
      <c r="C271" s="93">
        <v>2</v>
      </c>
      <c r="D271" s="88">
        <f>($O$9*1.08*1.1546*1.5*1.15)/166*C271</f>
        <v>97.96210655421689</v>
      </c>
      <c r="E271" s="88">
        <f>($O$9*1.08*1.1546*0.15*1.15)/166*C271</f>
        <v>9.796210655421687</v>
      </c>
      <c r="F271" s="58"/>
      <c r="G271" s="58">
        <f>(D271+E271+F271)*$G$14</f>
        <v>36.8533444856964</v>
      </c>
      <c r="H271" s="57">
        <f>SUM(D271:G271)</f>
        <v>144.611661695335</v>
      </c>
      <c r="I271" s="57">
        <f>H271*0.1</f>
        <v>14.461166169533499</v>
      </c>
      <c r="J271" s="218">
        <f>(D271+E271+F271)*$J$15</f>
        <v>24.99992959263615</v>
      </c>
      <c r="K271" s="218">
        <f>(D271+E271+F271)*$K$15</f>
        <v>84.0514874235181</v>
      </c>
      <c r="L271" s="57">
        <f>(H271+I271+J271+K271)*$L$15</f>
        <v>53.62484897620455</v>
      </c>
      <c r="M271" s="57">
        <f>SUM(H271:L271)</f>
        <v>321.74909385722725</v>
      </c>
      <c r="N271" s="58">
        <f>M271+M271*$N$15</f>
        <v>379.66393075152814</v>
      </c>
    </row>
    <row r="272" spans="1:14" ht="15" hidden="1">
      <c r="A272" s="48">
        <v>15</v>
      </c>
      <c r="B272" s="53" t="s">
        <v>134</v>
      </c>
      <c r="C272" s="86"/>
      <c r="D272" s="86"/>
      <c r="E272" s="86"/>
      <c r="F272" s="48"/>
      <c r="G272" s="55"/>
      <c r="H272" s="56"/>
      <c r="I272" s="56"/>
      <c r="J272" s="219"/>
      <c r="K272" s="217"/>
      <c r="L272" s="50"/>
      <c r="M272" s="50"/>
      <c r="N272" s="48"/>
    </row>
    <row r="273" spans="1:14" ht="14.25" hidden="1">
      <c r="A273" s="48"/>
      <c r="B273" s="51" t="s">
        <v>203</v>
      </c>
      <c r="C273" s="86">
        <v>0.46</v>
      </c>
      <c r="D273" s="88">
        <f>($O$9*1.08*1.09*1.5*1.15)/166*C273</f>
        <v>21.27065660240964</v>
      </c>
      <c r="E273" s="88">
        <f>($O$9*1.08*1.09*0.15*1.15)/166*C273</f>
        <v>2.127065660240964</v>
      </c>
      <c r="F273" s="58"/>
      <c r="G273" s="58">
        <f>(D273+E273+F273)*$G$14</f>
        <v>8.002021013826507</v>
      </c>
      <c r="H273" s="57">
        <f>SUM(D273:G273)</f>
        <v>31.39974327647711</v>
      </c>
      <c r="I273" s="57">
        <f>H273*0.1</f>
        <v>3.1399743276477112</v>
      </c>
      <c r="J273" s="218">
        <f>(D273+E273+F273)*$J$15</f>
        <v>5.42827156493494</v>
      </c>
      <c r="K273" s="218">
        <f>(D273+E273+F273)*$K$15</f>
        <v>18.25022336486747</v>
      </c>
      <c r="L273" s="57">
        <f>(H273+I273+J273+K273)*$L$15</f>
        <v>11.643642506785447</v>
      </c>
      <c r="M273" s="57">
        <f>SUM(H273:L273)</f>
        <v>69.86185504071267</v>
      </c>
      <c r="N273" s="58">
        <f>M273+M273*$N$15</f>
        <v>82.43698894804095</v>
      </c>
    </row>
    <row r="274" spans="1:14" ht="15" hidden="1">
      <c r="A274" s="48">
        <v>16</v>
      </c>
      <c r="B274" s="53" t="s">
        <v>165</v>
      </c>
      <c r="C274" s="86"/>
      <c r="D274" s="86"/>
      <c r="E274" s="86"/>
      <c r="F274" s="48"/>
      <c r="G274" s="55"/>
      <c r="H274" s="56"/>
      <c r="I274" s="56"/>
      <c r="J274" s="219"/>
      <c r="K274" s="217"/>
      <c r="L274" s="50"/>
      <c r="M274" s="50"/>
      <c r="N274" s="48"/>
    </row>
    <row r="275" spans="1:14" ht="14.25" hidden="1">
      <c r="A275" s="48"/>
      <c r="B275" s="51" t="s">
        <v>212</v>
      </c>
      <c r="C275" s="86"/>
      <c r="D275" s="88"/>
      <c r="E275" s="88"/>
      <c r="F275" s="58"/>
      <c r="G275" s="55"/>
      <c r="H275" s="56"/>
      <c r="I275" s="56"/>
      <c r="J275" s="219"/>
      <c r="K275" s="217"/>
      <c r="L275" s="50"/>
      <c r="M275" s="50"/>
      <c r="N275" s="48"/>
    </row>
    <row r="276" spans="1:14" ht="14.25" hidden="1">
      <c r="A276" s="48"/>
      <c r="B276" s="60" t="s">
        <v>166</v>
      </c>
      <c r="C276" s="86">
        <v>3.57</v>
      </c>
      <c r="D276" s="88">
        <f>($O$9*1.08*1.142*1.5*1.15)/166*C276</f>
        <v>172.95410994939758</v>
      </c>
      <c r="E276" s="88">
        <f>($O$9*1.08*1.142*0.15*1.15)/166*C276</f>
        <v>17.295410994939758</v>
      </c>
      <c r="F276" s="58"/>
      <c r="G276" s="58">
        <f>(D276+E276+F276)*$G$14</f>
        <v>65.06533616296338</v>
      </c>
      <c r="H276" s="57">
        <f>SUM(D276:G276)</f>
        <v>255.31485710730072</v>
      </c>
      <c r="I276" s="57">
        <f>H276*0.1</f>
        <v>25.531485710730074</v>
      </c>
      <c r="J276" s="218">
        <f>(D276+E276+F276)*$J$15</f>
        <v>44.13788885908627</v>
      </c>
      <c r="K276" s="218">
        <f>(D276+E276+F276)*$K$15</f>
        <v>148.39462633658314</v>
      </c>
      <c r="L276" s="57">
        <f>(H276+I276+J276+K276)*$L$15</f>
        <v>94.67577160274004</v>
      </c>
      <c r="M276" s="57">
        <f>SUM(H276:L276)</f>
        <v>568.0546296164403</v>
      </c>
      <c r="N276" s="58">
        <f>M276+M276*$N$15</f>
        <v>670.3044629473995</v>
      </c>
    </row>
    <row r="277" spans="1:14" ht="15" hidden="1">
      <c r="A277" s="52">
        <v>17</v>
      </c>
      <c r="B277" s="80" t="s">
        <v>218</v>
      </c>
      <c r="C277" s="90"/>
      <c r="D277" s="88"/>
      <c r="E277" s="90"/>
      <c r="F277" s="52"/>
      <c r="G277" s="78"/>
      <c r="H277" s="79"/>
      <c r="I277" s="79"/>
      <c r="J277" s="222"/>
      <c r="K277" s="216"/>
      <c r="L277" s="47"/>
      <c r="M277" s="47"/>
      <c r="N277" s="52"/>
    </row>
    <row r="278" spans="1:14" ht="14.25" hidden="1">
      <c r="A278" s="48"/>
      <c r="B278" s="51" t="s">
        <v>212</v>
      </c>
      <c r="C278" s="86">
        <v>2.887</v>
      </c>
      <c r="D278" s="88">
        <f>($O$9*1.08*1.142*1.5*1.15)/166*C278</f>
        <v>139.86513037084336</v>
      </c>
      <c r="E278" s="88">
        <f>($O$9*1.08*1.142*0.15*1.15)/166*C278</f>
        <v>13.986513037084336</v>
      </c>
      <c r="F278" s="58"/>
      <c r="G278" s="58">
        <f>(D278+E278+F278)*$G$14</f>
        <v>52.617262045511275</v>
      </c>
      <c r="H278" s="57">
        <f>SUM(D278:G278)</f>
        <v>206.46890545343896</v>
      </c>
      <c r="I278" s="57">
        <f>H278*0.1</f>
        <v>20.646890545343897</v>
      </c>
      <c r="J278" s="218">
        <f>(D278+E278+F278)*$J$15</f>
        <v>35.69358127063923</v>
      </c>
      <c r="K278" s="218">
        <f>(D278+E278+F278)*$K$15</f>
        <v>120.0042818581836</v>
      </c>
      <c r="L278" s="57">
        <f>(H278+I278+J278+K278)*$L$15</f>
        <v>76.56273182552114</v>
      </c>
      <c r="M278" s="57">
        <f>SUM(H278:L278)</f>
        <v>459.3763909531269</v>
      </c>
      <c r="N278" s="58">
        <f>M278+M278*$N$15</f>
        <v>542.0641413246897</v>
      </c>
    </row>
    <row r="279" spans="1:14" ht="15" hidden="1">
      <c r="A279" s="90">
        <v>18</v>
      </c>
      <c r="B279" s="111" t="s">
        <v>167</v>
      </c>
      <c r="C279" s="90"/>
      <c r="D279" s="90"/>
      <c r="E279" s="90"/>
      <c r="F279" s="90"/>
      <c r="G279" s="101"/>
      <c r="H279" s="102"/>
      <c r="I279" s="102"/>
      <c r="J279" s="222"/>
      <c r="K279" s="216"/>
      <c r="L279" s="103"/>
      <c r="M279" s="103"/>
      <c r="N279" s="90"/>
    </row>
    <row r="280" spans="1:14" ht="14.25" hidden="1">
      <c r="A280" s="48"/>
      <c r="B280" s="51" t="s">
        <v>214</v>
      </c>
      <c r="C280" s="86">
        <f>(1.142-1.09)/10*9+1.09</f>
        <v>1.1368</v>
      </c>
      <c r="D280" s="88"/>
      <c r="E280" s="86"/>
      <c r="F280" s="48"/>
      <c r="G280" s="55"/>
      <c r="H280" s="56"/>
      <c r="I280" s="56"/>
      <c r="J280" s="219"/>
      <c r="K280" s="217"/>
      <c r="L280" s="50"/>
      <c r="M280" s="50"/>
      <c r="N280" s="48"/>
    </row>
    <row r="281" spans="1:14" ht="14.25" hidden="1">
      <c r="A281" s="48"/>
      <c r="B281" s="60" t="s">
        <v>264</v>
      </c>
      <c r="C281" s="86">
        <v>4.13</v>
      </c>
      <c r="D281" s="88">
        <f>($O$9*1.08*1.1368*1.5*1.15)/166*C281</f>
        <v>199.17310015518072</v>
      </c>
      <c r="E281" s="88">
        <f>($O$9*1.08*1.1368*0.15*1.15)/166*C281</f>
        <v>19.917310015518073</v>
      </c>
      <c r="F281" s="58"/>
      <c r="G281" s="58">
        <f>(D281+E281+F281)*$G$14</f>
        <v>74.928920278379</v>
      </c>
      <c r="H281" s="57">
        <f>SUM(D281:G281)</f>
        <v>294.01933044907776</v>
      </c>
      <c r="I281" s="57">
        <f>H281*0.1</f>
        <v>29.40193304490778</v>
      </c>
      <c r="J281" s="218">
        <f>(D281+E281+F281)*$J$15</f>
        <v>50.82897515960212</v>
      </c>
      <c r="K281" s="218">
        <f>(D281+E281+F281)*$K$15</f>
        <v>170.89051993314507</v>
      </c>
      <c r="L281" s="57">
        <f>(H281+I281+J281+K281)*$L$15</f>
        <v>109.02815171734656</v>
      </c>
      <c r="M281" s="57">
        <f>SUM(H281:L281)</f>
        <v>654.1689103040793</v>
      </c>
      <c r="N281" s="58">
        <f>M281+M281*$N$15</f>
        <v>771.9193141588136</v>
      </c>
    </row>
    <row r="282" spans="1:14" ht="14.25" hidden="1">
      <c r="A282" s="48"/>
      <c r="B282" s="60" t="s">
        <v>159</v>
      </c>
      <c r="C282" s="86">
        <v>3.55</v>
      </c>
      <c r="D282" s="88">
        <f>($O$9*1.08*1.1368*1.5*1.15)/166*C282</f>
        <v>171.20205945542168</v>
      </c>
      <c r="E282" s="88">
        <f>($O$9*1.08*1.1368*0.15*1.15)/166*C282</f>
        <v>17.120205945542168</v>
      </c>
      <c r="F282" s="58"/>
      <c r="G282" s="58">
        <f>(D282+E282+F282)*$G$14</f>
        <v>64.40621476712964</v>
      </c>
      <c r="H282" s="57">
        <f>SUM(D282:G282)</f>
        <v>252.72848016809348</v>
      </c>
      <c r="I282" s="57">
        <f>H282*0.1</f>
        <v>25.27284801680935</v>
      </c>
      <c r="J282" s="218">
        <f>(D282+E282+F282)*$J$15</f>
        <v>43.69076557302361</v>
      </c>
      <c r="K282" s="218">
        <f>(D282+E282+F282)*$K$15</f>
        <v>146.8913670127518</v>
      </c>
      <c r="L282" s="57">
        <f>(H282+I282+J282+K282)*$L$15</f>
        <v>93.71669215413566</v>
      </c>
      <c r="M282" s="57">
        <f>SUM(H282:L282)</f>
        <v>562.3001529248139</v>
      </c>
      <c r="N282" s="58">
        <f>M282+M282*$N$15</f>
        <v>663.5141804512804</v>
      </c>
    </row>
    <row r="283" spans="1:14" ht="15" hidden="1">
      <c r="A283" s="48">
        <v>19</v>
      </c>
      <c r="B283" s="53" t="s">
        <v>168</v>
      </c>
      <c r="C283" s="86"/>
      <c r="D283" s="86"/>
      <c r="E283" s="86"/>
      <c r="F283" s="48"/>
      <c r="G283" s="55"/>
      <c r="H283" s="56"/>
      <c r="I283" s="56"/>
      <c r="J283" s="219"/>
      <c r="K283" s="217"/>
      <c r="L283" s="50"/>
      <c r="M283" s="50"/>
      <c r="N283" s="48"/>
    </row>
    <row r="284" spans="1:14" ht="14.25" hidden="1">
      <c r="A284" s="48"/>
      <c r="B284" s="51" t="s">
        <v>6</v>
      </c>
      <c r="C284" s="86"/>
      <c r="D284" s="86"/>
      <c r="E284" s="86"/>
      <c r="F284" s="48"/>
      <c r="G284" s="55"/>
      <c r="H284" s="56"/>
      <c r="I284" s="56"/>
      <c r="J284" s="219"/>
      <c r="K284" s="217"/>
      <c r="L284" s="50"/>
      <c r="M284" s="50"/>
      <c r="N284" s="48"/>
    </row>
    <row r="285" spans="1:14" ht="14.25" hidden="1">
      <c r="A285" s="48"/>
      <c r="B285" s="51" t="s">
        <v>169</v>
      </c>
      <c r="C285" s="86"/>
      <c r="D285" s="86"/>
      <c r="E285" s="86"/>
      <c r="F285" s="48"/>
      <c r="G285" s="55"/>
      <c r="H285" s="56"/>
      <c r="I285" s="56"/>
      <c r="J285" s="219"/>
      <c r="K285" s="217"/>
      <c r="L285" s="50"/>
      <c r="M285" s="50"/>
      <c r="N285" s="48"/>
    </row>
    <row r="286" spans="1:14" ht="14.25" hidden="1">
      <c r="A286" s="48"/>
      <c r="B286" s="60" t="s">
        <v>170</v>
      </c>
      <c r="C286" s="86">
        <v>0.72</v>
      </c>
      <c r="D286" s="88">
        <f>($O$9*1.08*1.09*1.5*1.15)/166*C286</f>
        <v>33.293201638554216</v>
      </c>
      <c r="E286" s="88">
        <f>($O$9*1.08*1.09*0.15*1.15)/166*C286</f>
        <v>3.3293201638554217</v>
      </c>
      <c r="F286" s="58"/>
      <c r="G286" s="58">
        <f>(D286+E286+F286)*$G$14</f>
        <v>12.524902456424096</v>
      </c>
      <c r="H286" s="57">
        <f>SUM(D286:G286)</f>
        <v>49.14742425883373</v>
      </c>
      <c r="I286" s="57">
        <f>H286*0.1</f>
        <v>4.914742425883373</v>
      </c>
      <c r="J286" s="218">
        <f>(D286+E286+F286)*$J$15</f>
        <v>8.496425058159035</v>
      </c>
      <c r="K286" s="218">
        <f>(D286+E286+F286)*$K$15</f>
        <v>28.56556700587952</v>
      </c>
      <c r="L286" s="57">
        <f>(H286+I286+J286+K286)*$L$15</f>
        <v>18.224831749751132</v>
      </c>
      <c r="M286" s="57">
        <f>SUM(H286:L286)</f>
        <v>109.3489904985068</v>
      </c>
      <c r="N286" s="58">
        <f>M286+M286*$N$15</f>
        <v>129.031808788238</v>
      </c>
    </row>
    <row r="287" spans="1:14" ht="14.25" hidden="1">
      <c r="A287" s="48"/>
      <c r="B287" s="60" t="s">
        <v>171</v>
      </c>
      <c r="C287" s="86">
        <v>0.53</v>
      </c>
      <c r="D287" s="88">
        <f>($O$9*1.08*1.09*1.5*1.15)/166*C287</f>
        <v>24.50749565060241</v>
      </c>
      <c r="E287" s="88">
        <f>($O$9*1.08*1.09*0.15*1.15)/166*C287</f>
        <v>2.4507495650602413</v>
      </c>
      <c r="F287" s="58"/>
      <c r="G287" s="58">
        <f>(D287+E287+F287)*$G$14</f>
        <v>9.219719863756628</v>
      </c>
      <c r="H287" s="57">
        <f>SUM(D287:G287)</f>
        <v>36.17796507941928</v>
      </c>
      <c r="I287" s="57">
        <f>H287*0.1</f>
        <v>3.6177965079419283</v>
      </c>
      <c r="J287" s="218">
        <f>(D287+E287+F287)*$J$15</f>
        <v>6.254312890033736</v>
      </c>
      <c r="K287" s="218">
        <f>(D287+E287+F287)*$K$15</f>
        <v>21.02743126821687</v>
      </c>
      <c r="L287" s="57">
        <f>(H287+I287+J287+K287)*$L$15</f>
        <v>13.415501149122363</v>
      </c>
      <c r="M287" s="57">
        <f>SUM(H287:L287)</f>
        <v>80.49300689473418</v>
      </c>
      <c r="N287" s="58">
        <f>M287+M287*$N$15</f>
        <v>94.98174813578633</v>
      </c>
    </row>
    <row r="288" spans="1:14" ht="15" hidden="1">
      <c r="A288" s="86">
        <v>20</v>
      </c>
      <c r="B288" s="91" t="s">
        <v>219</v>
      </c>
      <c r="C288" s="86"/>
      <c r="D288" s="88"/>
      <c r="E288" s="88"/>
      <c r="F288" s="88"/>
      <c r="G288" s="88"/>
      <c r="H288" s="89"/>
      <c r="I288" s="89"/>
      <c r="J288" s="218"/>
      <c r="K288" s="218"/>
      <c r="L288" s="89"/>
      <c r="M288" s="89"/>
      <c r="N288" s="88"/>
    </row>
    <row r="289" spans="1:14" ht="14.25" hidden="1">
      <c r="A289" s="48"/>
      <c r="B289" s="51" t="s">
        <v>203</v>
      </c>
      <c r="C289" s="86">
        <v>0.6</v>
      </c>
      <c r="D289" s="88">
        <f>($O$9*1.08*1.09*1.5*1.15)/166*C289</f>
        <v>27.744334698795182</v>
      </c>
      <c r="E289" s="88">
        <f>($O$9*1.08*1.09*0.15*1.15)/166*C289</f>
        <v>2.774433469879518</v>
      </c>
      <c r="F289" s="58"/>
      <c r="G289" s="58">
        <f>(D289+E289+F289)*$G$14</f>
        <v>10.437418713686748</v>
      </c>
      <c r="H289" s="57">
        <f>SUM(D289:G289)</f>
        <v>40.95618688236145</v>
      </c>
      <c r="I289" s="57">
        <f>H289*0.1</f>
        <v>4.095618688236145</v>
      </c>
      <c r="J289" s="218">
        <f>(D289+E289+F289)*$J$15</f>
        <v>7.080354215132531</v>
      </c>
      <c r="K289" s="218">
        <f>(D289+E289+F289)*$K$15</f>
        <v>23.80463917156627</v>
      </c>
      <c r="L289" s="57">
        <f>(H289+I289+J289+K289)*$L$15</f>
        <v>15.18735979145928</v>
      </c>
      <c r="M289" s="57">
        <f>SUM(H289:L289)</f>
        <v>91.12415874875566</v>
      </c>
      <c r="N289" s="58">
        <f>M289+M289*$N$15</f>
        <v>107.52650732353167</v>
      </c>
    </row>
    <row r="290" spans="1:14" ht="15" hidden="1">
      <c r="A290" s="86">
        <v>21</v>
      </c>
      <c r="B290" s="91" t="s">
        <v>183</v>
      </c>
      <c r="C290" s="86"/>
      <c r="D290" s="88"/>
      <c r="E290" s="88"/>
      <c r="F290" s="88"/>
      <c r="G290" s="88"/>
      <c r="H290" s="89"/>
      <c r="I290" s="89"/>
      <c r="J290" s="218"/>
      <c r="K290" s="218"/>
      <c r="L290" s="89"/>
      <c r="M290" s="89"/>
      <c r="N290" s="88"/>
    </row>
    <row r="291" spans="1:14" ht="14.25" hidden="1">
      <c r="A291" s="48"/>
      <c r="B291" s="51" t="s">
        <v>207</v>
      </c>
      <c r="C291" s="86">
        <v>1.28</v>
      </c>
      <c r="D291" s="88">
        <f>($O$9*1.08*1.116*1.5*1.15)/166*C291</f>
        <v>60.599735826506034</v>
      </c>
      <c r="E291" s="88">
        <f>($O$9*1.08*1.116*0.15*1.15)/166*C291</f>
        <v>6.059973582650603</v>
      </c>
      <c r="F291" s="58"/>
      <c r="G291" s="58">
        <f>(D291+E291+F291)*$G$14</f>
        <v>22.79762061793157</v>
      </c>
      <c r="H291" s="57">
        <f>SUM(D291:G291)</f>
        <v>89.4573300270882</v>
      </c>
      <c r="I291" s="57">
        <f>H291*0.1</f>
        <v>8.94573300270882</v>
      </c>
      <c r="J291" s="218">
        <f>(D291+E291+F291)*$J$15</f>
        <v>15.46505258292434</v>
      </c>
      <c r="K291" s="218">
        <f>(D291+E291+F291)*$K$15</f>
        <v>51.99457333914218</v>
      </c>
      <c r="L291" s="57">
        <f>(H291+I291+J291+K291)*$L$15</f>
        <v>33.172537790372715</v>
      </c>
      <c r="M291" s="57">
        <f>SUM(H291:L291)</f>
        <v>199.03522674223626</v>
      </c>
      <c r="N291" s="58">
        <f>M291+M291*$N$15</f>
        <v>234.8615675558388</v>
      </c>
    </row>
    <row r="292" spans="1:14" ht="15" hidden="1">
      <c r="A292" s="86">
        <v>22</v>
      </c>
      <c r="B292" s="91" t="s">
        <v>147</v>
      </c>
      <c r="C292" s="86"/>
      <c r="D292" s="86"/>
      <c r="E292" s="86"/>
      <c r="F292" s="86"/>
      <c r="G292" s="93"/>
      <c r="H292" s="94"/>
      <c r="I292" s="94"/>
      <c r="J292" s="219"/>
      <c r="K292" s="217"/>
      <c r="L292" s="92"/>
      <c r="M292" s="92"/>
      <c r="N292" s="86"/>
    </row>
    <row r="293" spans="1:14" ht="15" hidden="1">
      <c r="A293" s="48"/>
      <c r="B293" s="53" t="s">
        <v>148</v>
      </c>
      <c r="C293" s="86"/>
      <c r="D293" s="88"/>
      <c r="E293" s="88"/>
      <c r="F293" s="58"/>
      <c r="G293" s="58"/>
      <c r="H293" s="57"/>
      <c r="I293" s="57"/>
      <c r="J293" s="218"/>
      <c r="K293" s="218"/>
      <c r="L293" s="57"/>
      <c r="M293" s="57"/>
      <c r="N293" s="58"/>
    </row>
    <row r="294" spans="1:14" ht="14.25" hidden="1">
      <c r="A294" s="48"/>
      <c r="B294" s="51" t="s">
        <v>207</v>
      </c>
      <c r="C294" s="86">
        <v>1.16</v>
      </c>
      <c r="D294" s="88">
        <f>($O$9*1.08*1.116*1.5*1.15)/166*C294</f>
        <v>54.918510592771085</v>
      </c>
      <c r="E294" s="88">
        <f>($O$9*1.08*1.116*0.15*1.15)/166*C294</f>
        <v>5.491851059277108</v>
      </c>
      <c r="F294" s="58"/>
      <c r="G294" s="58">
        <f>(D294+E294+F294)*$G$14</f>
        <v>20.660343685000484</v>
      </c>
      <c r="H294" s="57">
        <f>SUM(D294:G294)</f>
        <v>81.07070533704868</v>
      </c>
      <c r="I294" s="57">
        <f>H294*0.1</f>
        <v>8.107070533704869</v>
      </c>
      <c r="J294" s="218">
        <f>(D294+E294+F294)*$J$15</f>
        <v>14.015203903275182</v>
      </c>
      <c r="K294" s="218">
        <f>(D294+E294+F294)*$K$15</f>
        <v>47.12008208859759</v>
      </c>
      <c r="L294" s="57">
        <f>(H294+I294+J294+K294)*$L$15</f>
        <v>30.062612372525265</v>
      </c>
      <c r="M294" s="57">
        <f>SUM(H294:L294)</f>
        <v>180.37567423515156</v>
      </c>
      <c r="N294" s="58">
        <f>M294+M294*$N$15</f>
        <v>212.84329559747886</v>
      </c>
    </row>
    <row r="295" spans="1:14" ht="15" hidden="1">
      <c r="A295" s="86">
        <v>23</v>
      </c>
      <c r="B295" s="91" t="s">
        <v>184</v>
      </c>
      <c r="C295" s="88"/>
      <c r="D295" s="88"/>
      <c r="E295" s="88"/>
      <c r="F295" s="88"/>
      <c r="G295" s="88"/>
      <c r="H295" s="89"/>
      <c r="I295" s="89"/>
      <c r="J295" s="218"/>
      <c r="K295" s="218"/>
      <c r="L295" s="89"/>
      <c r="M295" s="89"/>
      <c r="N295" s="88"/>
    </row>
    <row r="296" spans="1:14" ht="14.25" hidden="1">
      <c r="A296" s="48"/>
      <c r="B296" s="51" t="s">
        <v>213</v>
      </c>
      <c r="C296" s="293">
        <v>0.524</v>
      </c>
      <c r="D296" s="88">
        <f>($O$9*1.08*1.1108*1.5*1.15)/166*C296</f>
        <v>24.692423943903613</v>
      </c>
      <c r="E296" s="88">
        <f>($O$9*1.08*1.1108*0.15*1.15)/166*C296</f>
        <v>2.469242394390361</v>
      </c>
      <c r="F296" s="58"/>
      <c r="G296" s="58">
        <f>(D296+E296+F296)*$G$14</f>
        <v>9.289289887696539</v>
      </c>
      <c r="H296" s="57">
        <f>SUM(D296:G296)</f>
        <v>36.45095622599051</v>
      </c>
      <c r="I296" s="57">
        <f>H296*0.1</f>
        <v>3.645095622599051</v>
      </c>
      <c r="J296" s="218">
        <f>(D296+E296+F296)*$J$15</f>
        <v>6.301506590484202</v>
      </c>
      <c r="K296" s="218">
        <f>(D296+E296+F296)*$K$15</f>
        <v>21.1860997438693</v>
      </c>
      <c r="L296" s="57">
        <f>(H296+I296+J296+K296)*$L$15</f>
        <v>13.516731636588611</v>
      </c>
      <c r="M296" s="57">
        <f>SUM(H296:L296)</f>
        <v>81.10038981953167</v>
      </c>
      <c r="N296" s="58">
        <f>M296+M296*$N$15</f>
        <v>95.69845998704737</v>
      </c>
    </row>
    <row r="297" spans="1:14" ht="15" hidden="1">
      <c r="A297" s="52">
        <v>24</v>
      </c>
      <c r="B297" s="53" t="s">
        <v>216</v>
      </c>
      <c r="C297" s="86"/>
      <c r="D297" s="86"/>
      <c r="E297" s="86"/>
      <c r="F297" s="48"/>
      <c r="G297" s="48"/>
      <c r="H297" s="50"/>
      <c r="I297" s="50"/>
      <c r="J297" s="217"/>
      <c r="K297" s="217"/>
      <c r="L297" s="50"/>
      <c r="M297" s="50"/>
      <c r="N297" s="48"/>
    </row>
    <row r="298" spans="1:14" ht="14.25" hidden="1">
      <c r="A298" s="48"/>
      <c r="B298" s="51" t="s">
        <v>207</v>
      </c>
      <c r="C298" s="293">
        <v>1.397</v>
      </c>
      <c r="D298" s="88">
        <f>($O$9*1.08*1.116*1.5*1.15)/165.6*C298</f>
        <v>66.2986863</v>
      </c>
      <c r="E298" s="88">
        <f>($O$9*1.08*1.116*0.15*1.15)/166*C298</f>
        <v>6.613893042939759</v>
      </c>
      <c r="F298" s="58"/>
      <c r="G298" s="58">
        <f>(D298+E298+F298)*$G$14</f>
        <v>24.936102135285402</v>
      </c>
      <c r="H298" s="57">
        <f>SUM(D298:G298)</f>
        <v>97.84868147822516</v>
      </c>
      <c r="I298" s="57">
        <f>H298*0.1</f>
        <v>9.784868147822516</v>
      </c>
      <c r="J298" s="218">
        <f>(D298+E298+F298)*$J$15</f>
        <v>16.915718407562025</v>
      </c>
      <c r="K298" s="218">
        <f>(D298+E298+F298)*$K$15</f>
        <v>56.87181188749302</v>
      </c>
      <c r="L298" s="57">
        <f>(H298+I298+J298+K298)*$L$15</f>
        <v>36.284215984220545</v>
      </c>
      <c r="M298" s="57">
        <f>SUM(H298:L298)</f>
        <v>217.70529590532325</v>
      </c>
      <c r="N298" s="58">
        <f>M298+M298*$N$15</f>
        <v>256.8922491682814</v>
      </c>
    </row>
    <row r="299" spans="1:14" ht="15" hidden="1">
      <c r="A299" s="48">
        <v>25</v>
      </c>
      <c r="B299" s="53" t="s">
        <v>198</v>
      </c>
      <c r="C299" s="86"/>
      <c r="D299" s="86"/>
      <c r="E299" s="86"/>
      <c r="F299" s="48"/>
      <c r="G299" s="58"/>
      <c r="H299" s="57"/>
      <c r="I299" s="57"/>
      <c r="J299" s="218"/>
      <c r="K299" s="217"/>
      <c r="L299" s="50"/>
      <c r="M299" s="50"/>
      <c r="N299" s="48"/>
    </row>
    <row r="300" spans="1:14" ht="14.25" hidden="1">
      <c r="A300" s="48"/>
      <c r="B300" s="51" t="s">
        <v>203</v>
      </c>
      <c r="C300" s="86">
        <v>0.478</v>
      </c>
      <c r="D300" s="88">
        <f>($O$9*1.08*1.09*1.5*1.15)/165.6*C300</f>
        <v>22.156375500000003</v>
      </c>
      <c r="E300" s="88">
        <f>($O$9*1.08*1.09*0.15*1.15)/166*C300</f>
        <v>2.2102986643373495</v>
      </c>
      <c r="F300" s="58"/>
      <c r="G300" s="58">
        <f>(D300+E300+F300)*$G$14</f>
        <v>8.333402564203375</v>
      </c>
      <c r="H300" s="57">
        <f>SUM(D300:G300)</f>
        <v>32.70007672854073</v>
      </c>
      <c r="I300" s="57">
        <f>H300*0.1</f>
        <v>3.270007672854073</v>
      </c>
      <c r="J300" s="218">
        <f>(D300+E300+F300)*$J$15</f>
        <v>5.653068406126266</v>
      </c>
      <c r="K300" s="218">
        <f>(D300+E300+F300)*$K$15</f>
        <v>19.006005848183136</v>
      </c>
      <c r="L300" s="57">
        <f>(H300+I300+J300+K300)*$L$15</f>
        <v>12.125831731140842</v>
      </c>
      <c r="M300" s="57">
        <f>SUM(H300:L300)</f>
        <v>72.75499038684504</v>
      </c>
      <c r="N300" s="58">
        <f>M300+M300*$N$15</f>
        <v>85.85088865647714</v>
      </c>
    </row>
    <row r="301" spans="1:14" ht="15" hidden="1">
      <c r="A301" s="61">
        <v>26</v>
      </c>
      <c r="B301" s="63" t="s">
        <v>149</v>
      </c>
      <c r="C301" s="96"/>
      <c r="D301" s="98"/>
      <c r="E301" s="98"/>
      <c r="F301" s="68"/>
      <c r="G301" s="68"/>
      <c r="H301" s="67"/>
      <c r="I301" s="67"/>
      <c r="J301" s="221"/>
      <c r="K301" s="221"/>
      <c r="L301" s="67"/>
      <c r="M301" s="67"/>
      <c r="N301" s="68"/>
    </row>
    <row r="302" spans="1:14" ht="14.25" hidden="1">
      <c r="A302" s="48"/>
      <c r="B302" s="51" t="s">
        <v>217</v>
      </c>
      <c r="C302" s="293">
        <v>2.347</v>
      </c>
      <c r="D302" s="88">
        <f>($O$9*1.08*1.1316*1.5*1.15)/165.6*C302</f>
        <v>112.94066763</v>
      </c>
      <c r="E302" s="88">
        <f>($O$9*1.08*1.1316*0.15*1.15)/166*C302</f>
        <v>11.266852144293974</v>
      </c>
      <c r="F302" s="58"/>
      <c r="G302" s="58">
        <f>(D302+E302+F302)*$G$14</f>
        <v>42.47897176280854</v>
      </c>
      <c r="H302" s="57">
        <f>SUM(D302:G302)</f>
        <v>166.6864915371025</v>
      </c>
      <c r="I302" s="57">
        <f>H302*0.1</f>
        <v>16.668649153710252</v>
      </c>
      <c r="J302" s="218">
        <f>(D302+E302+F302)*$J$15</f>
        <v>28.816144587636202</v>
      </c>
      <c r="K302" s="218">
        <f>(D302+E302+F302)*$K$15</f>
        <v>96.88186542394931</v>
      </c>
      <c r="L302" s="57">
        <f>(H302+I302+J302+K302)*$L$15</f>
        <v>61.81063014047966</v>
      </c>
      <c r="M302" s="57">
        <f>SUM(H302:L302)</f>
        <v>370.86378084287793</v>
      </c>
      <c r="N302" s="58">
        <f>M302+M302*$N$15</f>
        <v>437.6192613945959</v>
      </c>
    </row>
    <row r="303" spans="1:14" ht="15" hidden="1">
      <c r="A303" s="96">
        <v>27</v>
      </c>
      <c r="B303" s="97" t="s">
        <v>254</v>
      </c>
      <c r="C303" s="96"/>
      <c r="D303" s="96"/>
      <c r="E303" s="96"/>
      <c r="F303" s="96"/>
      <c r="G303" s="104"/>
      <c r="H303" s="105"/>
      <c r="I303" s="105"/>
      <c r="J303" s="220"/>
      <c r="K303" s="221"/>
      <c r="L303" s="106"/>
      <c r="M303" s="106"/>
      <c r="N303" s="98"/>
    </row>
    <row r="304" spans="1:14" ht="14.25" hidden="1">
      <c r="A304" s="48"/>
      <c r="B304" s="51" t="s">
        <v>207</v>
      </c>
      <c r="C304" s="86"/>
      <c r="D304" s="88"/>
      <c r="E304" s="88"/>
      <c r="F304" s="58"/>
      <c r="G304" s="58"/>
      <c r="H304" s="58"/>
      <c r="I304" s="58"/>
      <c r="J304" s="224"/>
      <c r="K304" s="224"/>
      <c r="L304" s="58"/>
      <c r="M304" s="57"/>
      <c r="N304" s="58"/>
    </row>
    <row r="305" spans="1:14" ht="14.25" hidden="1">
      <c r="A305" s="86"/>
      <c r="B305" s="87" t="s">
        <v>145</v>
      </c>
      <c r="C305" s="86">
        <v>1.05</v>
      </c>
      <c r="D305" s="88">
        <f>($O$9*1.08*1.116*1.5*1.15)/165.6*C305</f>
        <v>49.830795</v>
      </c>
      <c r="E305" s="88">
        <f>($O$9*1.08*1.116*0.15*1.15)/166*C305</f>
        <v>4.9710720795180725</v>
      </c>
      <c r="F305" s="58"/>
      <c r="G305" s="58">
        <f>(D305+E305+F305)*$G$14</f>
        <v>18.74223854119518</v>
      </c>
      <c r="H305" s="57">
        <f>SUM(D305:G305)</f>
        <v>73.54410562071325</v>
      </c>
      <c r="I305" s="57">
        <f>H305*0.1</f>
        <v>7.354410562071326</v>
      </c>
      <c r="J305" s="218">
        <f>(D305+E305+F305)*$J$15</f>
        <v>12.714033162448194</v>
      </c>
      <c r="K305" s="218">
        <f>(D305+E305+F305)*$K$15</f>
        <v>42.7454563220241</v>
      </c>
      <c r="L305" s="57">
        <f>(H305+I305+J305+K305)*$L$15</f>
        <v>27.271601133451373</v>
      </c>
      <c r="M305" s="57">
        <f>SUM(H305:L305)</f>
        <v>163.62960680070825</v>
      </c>
      <c r="N305" s="58">
        <f>M305+M305*$N$15</f>
        <v>193.08293602483573</v>
      </c>
    </row>
    <row r="306" spans="1:14" ht="14.25" hidden="1">
      <c r="A306" s="86"/>
      <c r="B306" s="87" t="s">
        <v>146</v>
      </c>
      <c r="C306" s="86">
        <v>1.34</v>
      </c>
      <c r="D306" s="88">
        <f>($O$9*1.08*1.116*1.5*1.15)/165.6*C306</f>
        <v>63.59358600000001</v>
      </c>
      <c r="E306" s="88">
        <f>($O$9*1.08*1.116*0.15*1.15)/166*C306</f>
        <v>6.34403484433735</v>
      </c>
      <c r="F306" s="58"/>
      <c r="G306" s="58">
        <f>(D306+E306+F306)*$G$14</f>
        <v>23.91866632876338</v>
      </c>
      <c r="H306" s="57">
        <f>SUM(D306:G306)</f>
        <v>93.85628717310074</v>
      </c>
      <c r="I306" s="57">
        <f>H306*0.1</f>
        <v>9.385628717310075</v>
      </c>
      <c r="J306" s="218">
        <f>(D306+E306+F306)*$J$15</f>
        <v>16.225528035886267</v>
      </c>
      <c r="K306" s="218">
        <f>(D306+E306+F306)*$K$15</f>
        <v>54.55134425858314</v>
      </c>
      <c r="L306" s="57">
        <f>(H306+I306+J306+K306)*$L$15</f>
        <v>34.80375763697605</v>
      </c>
      <c r="M306" s="57">
        <f>SUM(H306:L306)</f>
        <v>208.8225458218563</v>
      </c>
      <c r="N306" s="58">
        <f>M306+M306*$N$15</f>
        <v>246.41060406979042</v>
      </c>
    </row>
    <row r="307" spans="1:14" ht="14.25" hidden="1">
      <c r="A307" s="99"/>
      <c r="B307" s="51" t="s">
        <v>427</v>
      </c>
      <c r="C307" s="86">
        <v>0.5</v>
      </c>
      <c r="D307" s="88">
        <f>($O$9*1.142*1.5*1.15)/165.6</f>
        <v>44.966249999999995</v>
      </c>
      <c r="E307" s="88">
        <f>($O$9*1.142*0.15*1.15)/165.6</f>
        <v>4.496624999999999</v>
      </c>
      <c r="F307" s="58">
        <f>($O$9*1.142*0.3*1.15)/165.6</f>
        <v>8.993249999999998</v>
      </c>
      <c r="G307" s="58">
        <f>(D307+E307+F307)*$G$14</f>
        <v>19.99199475</v>
      </c>
      <c r="H307" s="57">
        <f>SUM(D307:G307)</f>
        <v>78.44811974999999</v>
      </c>
      <c r="I307" s="57">
        <f>H307*0.1</f>
        <v>7.844811974999999</v>
      </c>
      <c r="J307" s="218">
        <f>(D307+E307+F307)*$J$15</f>
        <v>13.561820999999998</v>
      </c>
      <c r="K307" s="218">
        <f>(D307+E307+F307)*$K$205</f>
        <v>39.86707725</v>
      </c>
      <c r="L307" s="57">
        <f>(H307+I307+J307+K307)*$L$15</f>
        <v>27.944365995</v>
      </c>
      <c r="M307" s="57">
        <f>SUM(H307:L307)</f>
        <v>167.66619597</v>
      </c>
      <c r="N307" s="58">
        <f>M307+M307*$N$15</f>
        <v>197.8461112446</v>
      </c>
    </row>
    <row r="308" spans="1:14" ht="14.25" hidden="1">
      <c r="A308" s="107" t="s">
        <v>181</v>
      </c>
      <c r="B308" s="108" t="s">
        <v>195</v>
      </c>
      <c r="C308" s="99"/>
      <c r="D308" s="99"/>
      <c r="E308" s="99"/>
      <c r="F308" s="8"/>
      <c r="G308" s="78"/>
      <c r="H308" s="79"/>
      <c r="I308" s="79"/>
      <c r="J308" s="222"/>
      <c r="K308" s="216"/>
      <c r="L308" s="47"/>
      <c r="M308" s="47"/>
      <c r="N308" s="52"/>
    </row>
    <row r="309" spans="1:14" ht="15" hidden="1">
      <c r="A309" s="61">
        <v>1</v>
      </c>
      <c r="B309" s="63" t="s">
        <v>28</v>
      </c>
      <c r="C309" s="96"/>
      <c r="D309" s="96"/>
      <c r="E309" s="96"/>
      <c r="F309" s="61"/>
      <c r="G309" s="55"/>
      <c r="H309" s="56"/>
      <c r="I309" s="56"/>
      <c r="J309" s="219"/>
      <c r="K309" s="217"/>
      <c r="L309" s="50"/>
      <c r="M309" s="50"/>
      <c r="N309" s="48"/>
    </row>
    <row r="310" spans="1:14" ht="15" hidden="1">
      <c r="A310" s="61"/>
      <c r="B310" s="63" t="s">
        <v>265</v>
      </c>
      <c r="C310" s="96"/>
      <c r="D310" s="96"/>
      <c r="E310" s="96"/>
      <c r="F310" s="61"/>
      <c r="G310" s="55"/>
      <c r="H310" s="56"/>
      <c r="I310" s="56"/>
      <c r="J310" s="219"/>
      <c r="K310" s="217"/>
      <c r="L310" s="50"/>
      <c r="M310" s="50"/>
      <c r="N310" s="48"/>
    </row>
    <row r="311" spans="1:14" ht="14.25" hidden="1">
      <c r="A311" s="61"/>
      <c r="B311" s="62" t="s">
        <v>6</v>
      </c>
      <c r="C311" s="96">
        <v>0.16</v>
      </c>
      <c r="D311" s="88">
        <f>($O$9*1.08*1.09*1.5*1.15)/165.6*C311</f>
        <v>7.416360000000001</v>
      </c>
      <c r="E311" s="88">
        <f>($O$9*1.08*1.09*0.15*1.15)/166*C311</f>
        <v>0.7398489253012049</v>
      </c>
      <c r="F311" s="58"/>
      <c r="G311" s="58">
        <f>(D311+E311+F311)*$G$14</f>
        <v>2.7894234524530126</v>
      </c>
      <c r="H311" s="57">
        <f>SUM(D311:G311)</f>
        <v>10.945632377754219</v>
      </c>
      <c r="I311" s="57">
        <f>H311*0.1</f>
        <v>1.094563237775422</v>
      </c>
      <c r="J311" s="218">
        <f>(D311+E311+F311)*$J$15</f>
        <v>1.8922404706698799</v>
      </c>
      <c r="K311" s="218">
        <f>(D311+E311+F311)*$K$15</f>
        <v>6.361842961734941</v>
      </c>
      <c r="L311" s="57">
        <f>(H311+I311+J311+K311)*$L$15</f>
        <v>4.058855809586892</v>
      </c>
      <c r="M311" s="57">
        <f>SUM(H311:L311)</f>
        <v>24.35313485752135</v>
      </c>
      <c r="N311" s="58">
        <f>M311+M311*$N$15</f>
        <v>28.73669913187519</v>
      </c>
    </row>
    <row r="312" spans="1:14" ht="15" hidden="1">
      <c r="A312" s="8">
        <v>2</v>
      </c>
      <c r="B312" s="74" t="s">
        <v>17</v>
      </c>
      <c r="C312" s="99"/>
      <c r="D312" s="114"/>
      <c r="E312" s="113"/>
      <c r="F312" s="23"/>
      <c r="G312" s="109"/>
      <c r="H312" s="110"/>
      <c r="I312" s="110"/>
      <c r="J312" s="223"/>
      <c r="K312" s="223"/>
      <c r="L312" s="110"/>
      <c r="M312" s="110"/>
      <c r="N312" s="109"/>
    </row>
    <row r="313" spans="1:14" ht="14.25" hidden="1">
      <c r="A313" s="61"/>
      <c r="B313" s="51" t="s">
        <v>192</v>
      </c>
      <c r="C313" s="86">
        <f>(1.09-1.04)/10*8+1.04</f>
        <v>1.08</v>
      </c>
      <c r="D313" s="88">
        <f>($O$9*1.08*1.108*1.5*1.15)/165.6</f>
        <v>47.1177</v>
      </c>
      <c r="E313" s="88">
        <f>($O$9*1.08*1.08*0.15*1.15)/166</f>
        <v>4.581633253012048</v>
      </c>
      <c r="F313" s="58"/>
      <c r="G313" s="55"/>
      <c r="H313" s="56"/>
      <c r="I313" s="56"/>
      <c r="J313" s="219"/>
      <c r="K313" s="217"/>
      <c r="L313" s="50"/>
      <c r="M313" s="50"/>
      <c r="N313" s="48"/>
    </row>
    <row r="314" spans="1:14" ht="14.25" hidden="1">
      <c r="A314" s="61"/>
      <c r="B314" s="64" t="s">
        <v>18</v>
      </c>
      <c r="C314" s="96">
        <v>3.544</v>
      </c>
      <c r="D314" s="98">
        <f>C314*$D$155</f>
        <v>166.9851288</v>
      </c>
      <c r="E314" s="98">
        <f>C314*$E$155</f>
        <v>16.237308248674697</v>
      </c>
      <c r="F314" s="68"/>
      <c r="G314" s="58">
        <f>(D314+E314+F314)*$G$14</f>
        <v>62.66207347064676</v>
      </c>
      <c r="H314" s="57">
        <f>SUM(D314:G314)</f>
        <v>245.88451051932148</v>
      </c>
      <c r="I314" s="57">
        <f>H314*0.1</f>
        <v>24.58845105193215</v>
      </c>
      <c r="J314" s="218">
        <f>(D314+E314+F314)*$J$15</f>
        <v>42.507605395292536</v>
      </c>
      <c r="K314" s="218">
        <f>(D314+E314+F314)*$K$15</f>
        <v>142.9135008979663</v>
      </c>
      <c r="L314" s="57">
        <f>(H314+I314+J314+K314)*$L$15</f>
        <v>91.1788135729025</v>
      </c>
      <c r="M314" s="57">
        <f>SUM(H314:L314)</f>
        <v>547.0728814374149</v>
      </c>
      <c r="N314" s="58">
        <f>M314+M314*$N$15</f>
        <v>645.5460000961497</v>
      </c>
    </row>
    <row r="315" spans="1:14" ht="14.25" hidden="1">
      <c r="A315" s="48"/>
      <c r="B315" s="60" t="s">
        <v>19</v>
      </c>
      <c r="C315" s="86">
        <v>5.196</v>
      </c>
      <c r="D315" s="88">
        <f>C315*$D$155</f>
        <v>244.82356919999998</v>
      </c>
      <c r="E315" s="88">
        <f>C315*$E$155</f>
        <v>23.8061663826506</v>
      </c>
      <c r="F315" s="58"/>
      <c r="G315" s="58">
        <f>(D315+E315+F315)*$G$14</f>
        <v>91.8713695692665</v>
      </c>
      <c r="H315" s="57">
        <f>SUM(D315:G315)</f>
        <v>360.5011051519171</v>
      </c>
      <c r="I315" s="57">
        <f>H315*0.1</f>
        <v>36.05011051519171</v>
      </c>
      <c r="J315" s="218">
        <f>(D315+E315+F315)*$J$15</f>
        <v>62.32209865517494</v>
      </c>
      <c r="K315" s="218">
        <f>(D315+E315+F315)*$K$15</f>
        <v>209.53119375446747</v>
      </c>
      <c r="L315" s="57">
        <f>(H315+I315+J315+K315)*$L$15</f>
        <v>133.68090161535025</v>
      </c>
      <c r="M315" s="57">
        <f>SUM(H315:L315)</f>
        <v>802.0854096921014</v>
      </c>
      <c r="N315" s="58">
        <f>M315+M315*$N$15</f>
        <v>946.4607834366797</v>
      </c>
    </row>
    <row r="316" spans="1:14" ht="15" hidden="1">
      <c r="A316" s="99">
        <v>3</v>
      </c>
      <c r="B316" s="100" t="s">
        <v>275</v>
      </c>
      <c r="C316" s="99"/>
      <c r="D316" s="114"/>
      <c r="E316" s="113"/>
      <c r="F316" s="114"/>
      <c r="G316" s="113"/>
      <c r="H316" s="112"/>
      <c r="I316" s="112"/>
      <c r="J316" s="223"/>
      <c r="K316" s="223"/>
      <c r="L316" s="112"/>
      <c r="M316" s="112"/>
      <c r="N316" s="113"/>
    </row>
    <row r="317" spans="1:14" ht="14.25" hidden="1">
      <c r="A317" s="61"/>
      <c r="B317" s="51" t="s">
        <v>202</v>
      </c>
      <c r="C317" s="86">
        <f>(1.142-1.09)/10*2+1.09</f>
        <v>1.1004</v>
      </c>
      <c r="D317" s="88">
        <f>($O$9*1.08*1.1004*1.5*1.15)/165.6</f>
        <v>46.79451</v>
      </c>
      <c r="E317" s="88">
        <f>($O$9*1.08*1.1004*0.15*1.15)/166</f>
        <v>4.668175214457831</v>
      </c>
      <c r="F317" s="58"/>
      <c r="G317" s="55"/>
      <c r="H317" s="56"/>
      <c r="I317" s="56"/>
      <c r="J317" s="219"/>
      <c r="K317" s="218"/>
      <c r="L317" s="57"/>
      <c r="M317" s="57"/>
      <c r="N317" s="58"/>
    </row>
    <row r="318" spans="1:14" ht="14.25" hidden="1">
      <c r="A318" s="61"/>
      <c r="B318" s="64" t="s">
        <v>10</v>
      </c>
      <c r="C318" s="96">
        <v>2.592</v>
      </c>
      <c r="D318" s="98">
        <f>C318*D317</f>
        <v>121.29136992000001</v>
      </c>
      <c r="E318" s="98">
        <f>C318*E317</f>
        <v>12.099910155874698</v>
      </c>
      <c r="F318" s="68"/>
      <c r="G318" s="58">
        <f>(D318+E318+F318)*$G$14</f>
        <v>45.61981778594915</v>
      </c>
      <c r="H318" s="89">
        <f>SUM(D318:G318)</f>
        <v>179.01109786182386</v>
      </c>
      <c r="I318" s="89">
        <f>H318*0.1</f>
        <v>17.901109786182385</v>
      </c>
      <c r="J318" s="218">
        <f>(D318+E318+F318)*$J$15</f>
        <v>30.946776977602934</v>
      </c>
      <c r="K318" s="218">
        <f>(D318+E318+F318)*$K$15</f>
        <v>104.04519845918227</v>
      </c>
      <c r="L318" s="57">
        <f>(H318+I318+J318+K318)*$L$15</f>
        <v>66.38083661695829</v>
      </c>
      <c r="M318" s="89">
        <f>SUM(H318:L318)</f>
        <v>398.2850197017497</v>
      </c>
      <c r="N318" s="58">
        <f>M318+M318*$N$15</f>
        <v>469.97632324806466</v>
      </c>
    </row>
    <row r="319" spans="1:14" ht="14.25" hidden="1">
      <c r="A319" s="61"/>
      <c r="B319" s="64" t="s">
        <v>341</v>
      </c>
      <c r="C319" s="96">
        <v>3.324</v>
      </c>
      <c r="D319" s="98">
        <f>C319*D317</f>
        <v>155.54495124</v>
      </c>
      <c r="E319" s="98">
        <f>C319*E317</f>
        <v>15.51701441285783</v>
      </c>
      <c r="F319" s="68"/>
      <c r="G319" s="58">
        <f>(D319+E319+F319)*$G$14</f>
        <v>58.503192253277376</v>
      </c>
      <c r="H319" s="89">
        <f>SUM(D319:G319)</f>
        <v>229.5651579061352</v>
      </c>
      <c r="I319" s="89">
        <f>H319*0.1</f>
        <v>22.956515790613523</v>
      </c>
      <c r="J319" s="218">
        <f>(D319+E319+F319)*$J$15</f>
        <v>39.68637603146302</v>
      </c>
      <c r="K319" s="218">
        <f>(D319+E319+F319)*$K$15</f>
        <v>133.4283332092291</v>
      </c>
      <c r="L319" s="57">
        <f>(H319+I319+J319+K319)*$L$15</f>
        <v>85.12727658748817</v>
      </c>
      <c r="M319" s="89">
        <f>SUM(H319:L319)</f>
        <v>510.763659524929</v>
      </c>
      <c r="N319" s="58">
        <f>M319+M319*$N$15</f>
        <v>602.7011182394162</v>
      </c>
    </row>
    <row r="320" spans="1:14" ht="15" hidden="1">
      <c r="A320" s="96">
        <v>4</v>
      </c>
      <c r="B320" s="97" t="s">
        <v>12</v>
      </c>
      <c r="C320" s="96"/>
      <c r="D320" s="96"/>
      <c r="E320" s="96"/>
      <c r="F320" s="96"/>
      <c r="G320" s="93"/>
      <c r="H320" s="94"/>
      <c r="I320" s="94"/>
      <c r="J320" s="219"/>
      <c r="K320" s="217"/>
      <c r="L320" s="92"/>
      <c r="M320" s="92"/>
      <c r="N320" s="86"/>
    </row>
    <row r="321" spans="1:14" ht="14.25" hidden="1">
      <c r="A321" s="61"/>
      <c r="B321" s="51" t="s">
        <v>202</v>
      </c>
      <c r="C321" s="86">
        <f>(1.142-1.09)/10*2+1.09</f>
        <v>1.1004</v>
      </c>
      <c r="D321" s="88">
        <f>($O$9*1.08*1.1004*1.5*1.15)/165.6</f>
        <v>46.79451</v>
      </c>
      <c r="E321" s="88">
        <f>($O$9*1.08*1.1004*0.15*1.15)/166</f>
        <v>4.668175214457831</v>
      </c>
      <c r="F321" s="58"/>
      <c r="G321" s="55"/>
      <c r="H321" s="56"/>
      <c r="I321" s="56"/>
      <c r="J321" s="219"/>
      <c r="K321" s="218"/>
      <c r="L321" s="57"/>
      <c r="M321" s="57"/>
      <c r="N321" s="58"/>
    </row>
    <row r="322" spans="1:14" ht="14.25" hidden="1">
      <c r="A322" s="61"/>
      <c r="B322" s="64" t="s">
        <v>10</v>
      </c>
      <c r="C322" s="96">
        <v>2.352</v>
      </c>
      <c r="D322" s="98">
        <f>C322*D321</f>
        <v>110.06068752</v>
      </c>
      <c r="E322" s="98">
        <f>C322*E321</f>
        <v>10.979548104404817</v>
      </c>
      <c r="F322" s="68"/>
      <c r="G322" s="58">
        <f>(D322+E322+F322)*$G$14</f>
        <v>41.39576058354645</v>
      </c>
      <c r="H322" s="89">
        <f>SUM(D322:G322)</f>
        <v>162.43599620795126</v>
      </c>
      <c r="I322" s="89">
        <f>H322*0.1</f>
        <v>16.243599620795127</v>
      </c>
      <c r="J322" s="218">
        <f>(D322+E322+F322)*$J$15</f>
        <v>28.08133466486192</v>
      </c>
      <c r="K322" s="218">
        <f>(D322+E322+F322)*$K$15</f>
        <v>94.41138378703576</v>
      </c>
      <c r="L322" s="57">
        <f>(H322+I322+J322+K322)*$L$15</f>
        <v>60.234462856128815</v>
      </c>
      <c r="M322" s="89">
        <f>SUM(H322:L322)</f>
        <v>361.40677713677286</v>
      </c>
      <c r="N322" s="58">
        <f>M322+M322*$N$15</f>
        <v>426.459997021392</v>
      </c>
    </row>
    <row r="323" spans="1:14" ht="14.25" hidden="1">
      <c r="A323" s="61"/>
      <c r="B323" s="64" t="s">
        <v>11</v>
      </c>
      <c r="C323" s="96">
        <v>2.904</v>
      </c>
      <c r="D323" s="98">
        <f>C323*D321</f>
        <v>135.89125704</v>
      </c>
      <c r="E323" s="98">
        <f>C323*E321</f>
        <v>13.55638082278554</v>
      </c>
      <c r="F323" s="68"/>
      <c r="G323" s="58">
        <f>(D323+E323+F323)*$G$14</f>
        <v>51.11109214907266</v>
      </c>
      <c r="H323" s="89">
        <f>SUM(D323:G323)</f>
        <v>200.5587300118582</v>
      </c>
      <c r="I323" s="89">
        <f>H323*0.1</f>
        <v>20.05587300118582</v>
      </c>
      <c r="J323" s="218">
        <f>(D323+E323+F323)*$J$15</f>
        <v>34.671851984166246</v>
      </c>
      <c r="K323" s="218">
        <f>(D323+E323+F323)*$K$15</f>
        <v>116.56915753297272</v>
      </c>
      <c r="L323" s="57">
        <f>(H323+I323+J323+K323)*$L$15</f>
        <v>74.3711225060366</v>
      </c>
      <c r="M323" s="89">
        <f>SUM(H323:L323)</f>
        <v>446.22673503621957</v>
      </c>
      <c r="N323" s="58">
        <f>M323+M323*$N$15</f>
        <v>526.5475473427391</v>
      </c>
    </row>
    <row r="324" spans="1:14" ht="15" hidden="1">
      <c r="A324" s="96">
        <v>5</v>
      </c>
      <c r="B324" s="97" t="s">
        <v>23</v>
      </c>
      <c r="C324" s="96"/>
      <c r="D324" s="96"/>
      <c r="E324" s="96"/>
      <c r="F324" s="96"/>
      <c r="G324" s="93"/>
      <c r="H324" s="94"/>
      <c r="I324" s="94"/>
      <c r="J324" s="219"/>
      <c r="K324" s="217"/>
      <c r="L324" s="92"/>
      <c r="M324" s="92"/>
      <c r="N324" s="86"/>
    </row>
    <row r="325" spans="1:14" ht="15" hidden="1">
      <c r="A325" s="61"/>
      <c r="B325" s="63" t="s">
        <v>266</v>
      </c>
      <c r="C325" s="96"/>
      <c r="D325" s="96"/>
      <c r="E325" s="96"/>
      <c r="F325" s="61"/>
      <c r="G325" s="55"/>
      <c r="H325" s="56"/>
      <c r="I325" s="56"/>
      <c r="J325" s="219"/>
      <c r="K325" s="217"/>
      <c r="L325" s="50"/>
      <c r="M325" s="50"/>
      <c r="N325" s="48"/>
    </row>
    <row r="326" spans="1:14" ht="14.25" hidden="1">
      <c r="A326" s="61"/>
      <c r="B326" s="62" t="s">
        <v>203</v>
      </c>
      <c r="C326" s="96"/>
      <c r="D326" s="96"/>
      <c r="E326" s="96"/>
      <c r="F326" s="61"/>
      <c r="G326" s="55"/>
      <c r="H326" s="56"/>
      <c r="I326" s="56"/>
      <c r="J326" s="219"/>
      <c r="K326" s="217"/>
      <c r="L326" s="50"/>
      <c r="M326" s="50"/>
      <c r="N326" s="48"/>
    </row>
    <row r="327" spans="1:14" ht="14.25" hidden="1">
      <c r="A327" s="61"/>
      <c r="B327" s="64" t="s">
        <v>193</v>
      </c>
      <c r="C327" s="96">
        <v>0.7</v>
      </c>
      <c r="D327" s="88">
        <f>($O$9*1.08*1.09*1.5*1.15)/165.6*C327</f>
        <v>32.446575</v>
      </c>
      <c r="E327" s="88">
        <f>($O$9*1.08*1.09*0.15*1.15)/166*C327</f>
        <v>3.2368390481927714</v>
      </c>
      <c r="F327" s="58"/>
      <c r="G327" s="58">
        <f>(D327+E327+F327)*$G$14</f>
        <v>12.20372760448193</v>
      </c>
      <c r="H327" s="57">
        <f>SUM(D327:G327)</f>
        <v>47.8871416526747</v>
      </c>
      <c r="I327" s="57">
        <f>H327*0.1</f>
        <v>4.7887141652674705</v>
      </c>
      <c r="J327" s="218">
        <f>(D327+E327+F327)*$J$15</f>
        <v>8.278552059180724</v>
      </c>
      <c r="K327" s="218">
        <f>(D327+E327+F327)*$K$15</f>
        <v>27.833062957590364</v>
      </c>
      <c r="L327" s="57">
        <f>(H327+I327+J327+K327)*$L$15</f>
        <v>17.757494166942653</v>
      </c>
      <c r="M327" s="57">
        <f>SUM(H327:L327)</f>
        <v>106.54496500165591</v>
      </c>
      <c r="N327" s="58">
        <f>M327+M327*$N$15</f>
        <v>125.72305870195397</v>
      </c>
    </row>
    <row r="328" spans="1:14" ht="14.25" hidden="1">
      <c r="A328" s="48"/>
      <c r="B328" s="60" t="s">
        <v>194</v>
      </c>
      <c r="C328" s="86">
        <v>0.24</v>
      </c>
      <c r="D328" s="88">
        <f>($O$9*1.08*1.09*1.5*1.15)/165.6*C328</f>
        <v>11.124540000000001</v>
      </c>
      <c r="E328" s="88">
        <f>($O$9*1.08*1.09*0.15*1.15)/166*C328</f>
        <v>1.1097733879518072</v>
      </c>
      <c r="F328" s="58"/>
      <c r="G328" s="58">
        <f>(D328+E328+F328)*$G$14</f>
        <v>4.184135178679519</v>
      </c>
      <c r="H328" s="57">
        <f>SUM(D328:G328)</f>
        <v>16.418448566631326</v>
      </c>
      <c r="I328" s="57">
        <f>H328*0.1</f>
        <v>1.6418448566631327</v>
      </c>
      <c r="J328" s="218">
        <f>(D328+E328+F328)*$J$15</f>
        <v>2.8383607060048197</v>
      </c>
      <c r="K328" s="218">
        <f>(D328+E328+F328)*$K$15</f>
        <v>9.54276444260241</v>
      </c>
      <c r="L328" s="57">
        <f>(H328+I328+J328+K328)*$L$15</f>
        <v>6.0882837143803386</v>
      </c>
      <c r="M328" s="57">
        <f>SUM(H328:L328)</f>
        <v>36.52970228628203</v>
      </c>
      <c r="N328" s="58">
        <f>M328+M328*$N$15</f>
        <v>43.1050486978128</v>
      </c>
    </row>
    <row r="329" spans="1:14" ht="15" hidden="1">
      <c r="A329" s="99">
        <v>6</v>
      </c>
      <c r="B329" s="100" t="s">
        <v>276</v>
      </c>
      <c r="C329" s="99"/>
      <c r="D329" s="99"/>
      <c r="E329" s="99"/>
      <c r="F329" s="99"/>
      <c r="G329" s="101"/>
      <c r="H329" s="102"/>
      <c r="I329" s="102"/>
      <c r="J329" s="222"/>
      <c r="K329" s="216"/>
      <c r="L329" s="103"/>
      <c r="M329" s="103"/>
      <c r="N329" s="90"/>
    </row>
    <row r="330" spans="1:14" ht="14.25" hidden="1">
      <c r="A330" s="61"/>
      <c r="B330" s="51" t="s">
        <v>203</v>
      </c>
      <c r="C330" s="86"/>
      <c r="D330" s="88">
        <f>($O$9*1.08*1.09*1.5*1.15)/165.6</f>
        <v>46.352250000000005</v>
      </c>
      <c r="E330" s="88">
        <f>($O$9*1.08*1.09*0.15*1.15)/166</f>
        <v>4.624055783132531</v>
      </c>
      <c r="F330" s="58"/>
      <c r="G330" s="55"/>
      <c r="H330" s="56"/>
      <c r="I330" s="56"/>
      <c r="J330" s="219"/>
      <c r="K330" s="218"/>
      <c r="L330" s="57"/>
      <c r="M330" s="57"/>
      <c r="N330" s="58"/>
    </row>
    <row r="331" spans="1:14" ht="14.25" hidden="1">
      <c r="A331" s="61"/>
      <c r="B331" s="64" t="s">
        <v>13</v>
      </c>
      <c r="C331" s="96">
        <v>3.66</v>
      </c>
      <c r="D331" s="98">
        <f>C331*D330</f>
        <v>169.64923500000003</v>
      </c>
      <c r="E331" s="98">
        <f>C331*E330</f>
        <v>16.924044166265062</v>
      </c>
      <c r="F331" s="68"/>
      <c r="G331" s="58">
        <f>(D331+E331+F331)*$G$14</f>
        <v>63.80806147486266</v>
      </c>
      <c r="H331" s="89">
        <f>SUM(D331:G331)</f>
        <v>250.38134064112774</v>
      </c>
      <c r="I331" s="89">
        <f>H331*0.1</f>
        <v>25.038134064112775</v>
      </c>
      <c r="J331" s="218">
        <f>(D331+E331+F331)*$J$15</f>
        <v>43.2850007665735</v>
      </c>
      <c r="K331" s="218">
        <f>(D331+E331+F331)*$K$15</f>
        <v>145.52715774968678</v>
      </c>
      <c r="L331" s="57">
        <f>(H331+I331+J331+K331)*$L$15</f>
        <v>92.84632664430018</v>
      </c>
      <c r="M331" s="89">
        <f>SUM(H331:L331)</f>
        <v>557.077959865801</v>
      </c>
      <c r="N331" s="58">
        <f>M331+M331*$N$15</f>
        <v>657.3519926416451</v>
      </c>
    </row>
    <row r="332" spans="1:14" ht="14.25" hidden="1">
      <c r="A332" s="61"/>
      <c r="B332" s="64" t="s">
        <v>14</v>
      </c>
      <c r="C332" s="96">
        <v>3.13</v>
      </c>
      <c r="D332" s="98">
        <f>C332*D330</f>
        <v>145.08254250000002</v>
      </c>
      <c r="E332" s="98">
        <f>C332*E330</f>
        <v>14.47329460120482</v>
      </c>
      <c r="F332" s="68"/>
      <c r="G332" s="58">
        <f>(D332+E332+F332)*$G$14</f>
        <v>54.56809628861206</v>
      </c>
      <c r="H332" s="89">
        <f>SUM(D332:G332)</f>
        <v>214.1239333898169</v>
      </c>
      <c r="I332" s="89">
        <f>H332*0.1</f>
        <v>21.41239333898169</v>
      </c>
      <c r="J332" s="218">
        <f>(D332+E332+F332)*$J$15</f>
        <v>37.01695420747953</v>
      </c>
      <c r="K332" s="218">
        <f>(D332+E332+F332)*$K$15</f>
        <v>124.45355293893978</v>
      </c>
      <c r="L332" s="57">
        <f>(H332+I332+J332+K332)*$L$15</f>
        <v>79.40136677504358</v>
      </c>
      <c r="M332" s="89">
        <f>SUM(H332:L332)</f>
        <v>476.4082006502615</v>
      </c>
      <c r="N332" s="58">
        <f>M332+M332*$N$15</f>
        <v>562.1616767673086</v>
      </c>
    </row>
    <row r="333" spans="1:14" ht="30" hidden="1">
      <c r="A333" s="191">
        <v>7</v>
      </c>
      <c r="B333" s="192" t="s">
        <v>120</v>
      </c>
      <c r="C333" s="294">
        <v>0.344</v>
      </c>
      <c r="D333" s="227">
        <f>($O$9*1.08*1.1368*1.5*1.15)/165.6*C333</f>
        <v>16.62979248</v>
      </c>
      <c r="E333" s="227">
        <f>($O$9*1.08*1.1368*0.15*1.15)/166*C333</f>
        <v>1.6589720690891565</v>
      </c>
      <c r="F333" s="193"/>
      <c r="G333" s="193">
        <f>(D333+E333+F333)*$G$14</f>
        <v>6.254757475788492</v>
      </c>
      <c r="H333" s="194">
        <f>SUM(D333:G333)</f>
        <v>24.543522024877646</v>
      </c>
      <c r="I333" s="194">
        <f>H333*0.1</f>
        <v>2.454352202487765</v>
      </c>
      <c r="J333" s="225">
        <f>(D333+E333+F333)*$J$15</f>
        <v>4.242993375388684</v>
      </c>
      <c r="K333" s="225">
        <f>(D333+E333+F333)*$K$15</f>
        <v>14.265236348289541</v>
      </c>
      <c r="L333" s="194">
        <f>(H333+I333+J333+K333)*$L$15</f>
        <v>9.101220790208727</v>
      </c>
      <c r="M333" s="194">
        <f>SUM(H333:L333)</f>
        <v>54.60732474125236</v>
      </c>
      <c r="N333" s="193">
        <f>M333+M333*$N$15</f>
        <v>64.43664319467779</v>
      </c>
    </row>
    <row r="334" spans="1:14" ht="15" hidden="1">
      <c r="A334" s="355">
        <v>8</v>
      </c>
      <c r="B334" s="356" t="s">
        <v>419</v>
      </c>
      <c r="C334" s="294"/>
      <c r="D334" s="342"/>
      <c r="E334" s="342"/>
      <c r="F334" s="343"/>
      <c r="G334" s="343"/>
      <c r="H334" s="344"/>
      <c r="I334" s="344"/>
      <c r="J334" s="345"/>
      <c r="K334" s="345"/>
      <c r="L334" s="344"/>
      <c r="M334" s="344"/>
      <c r="N334" s="343"/>
    </row>
    <row r="335" spans="1:14" ht="14.25" hidden="1">
      <c r="A335" s="355"/>
      <c r="B335" s="357" t="s">
        <v>203</v>
      </c>
      <c r="C335" s="294">
        <v>3.5</v>
      </c>
      <c r="D335" s="88">
        <f>($O$9*1.08*1.09*1.5*1.15)/165.6*C335</f>
        <v>162.232875</v>
      </c>
      <c r="E335" s="227">
        <f>($O$9*1.08*1.1368*0.15*1.15)/166*C335</f>
        <v>16.879076284337348</v>
      </c>
      <c r="F335" s="343"/>
      <c r="G335" s="193">
        <f>(D335+E335+F335)*$G$14</f>
        <v>61.25628733924338</v>
      </c>
      <c r="H335" s="344">
        <f>SUM(D335:G335)</f>
        <v>240.36823862358074</v>
      </c>
      <c r="I335" s="194">
        <f>H335*0.1</f>
        <v>24.036823862358077</v>
      </c>
      <c r="J335" s="225">
        <f>(D335+E335+F335)*$J$15</f>
        <v>41.553972697966266</v>
      </c>
      <c r="K335" s="225">
        <f>(D335+E335+F335)*$K$15</f>
        <v>139.70732200178313</v>
      </c>
      <c r="L335" s="194">
        <f>(H335+I335+J335+K335)*$L$15</f>
        <v>89.13327143713764</v>
      </c>
      <c r="M335" s="194">
        <f>SUM(H335:L335)</f>
        <v>534.7996286228258</v>
      </c>
      <c r="N335" s="429">
        <f>(M335+M335*$N$15)+(M336+M336*118%)</f>
        <v>902.9054402938548</v>
      </c>
    </row>
    <row r="336" spans="1:14" ht="15.75" hidden="1">
      <c r="A336" s="355">
        <v>9</v>
      </c>
      <c r="B336" s="358" t="s">
        <v>245</v>
      </c>
      <c r="C336" s="294">
        <v>0.8</v>
      </c>
      <c r="D336" s="342">
        <f>($O$9*1.08*1.1142*1.5*1.15)/165.6*C336</f>
        <v>37.90508400000001</v>
      </c>
      <c r="E336" s="342">
        <f>($O$9*1.08*1.1368*0.15*1.15)/166*C336</f>
        <v>3.8580745792771083</v>
      </c>
      <c r="F336" s="343"/>
      <c r="G336" s="343">
        <f>(D336+E336+F336)*$G$14</f>
        <v>14.283000234112775</v>
      </c>
      <c r="H336" s="344">
        <f>SUM(D336:G336)</f>
        <v>56.046158813389894</v>
      </c>
      <c r="I336" s="344">
        <f>H336*0.1</f>
        <v>5.60461588133899</v>
      </c>
      <c r="J336" s="345">
        <f>(D336+E336+F336)*$J$15</f>
        <v>9.689052790392292</v>
      </c>
      <c r="K336" s="225">
        <f>(D336+E336+F336)*$K$15</f>
        <v>32.575263691836156</v>
      </c>
      <c r="L336" s="194">
        <f>(H336+I336+J336+K336)*$L$15</f>
        <v>20.783018235391467</v>
      </c>
      <c r="M336" s="194">
        <f>SUM(H336:L336)</f>
        <v>124.6981094123488</v>
      </c>
      <c r="N336" s="430"/>
    </row>
    <row r="337" spans="1:14" ht="15.75" hidden="1">
      <c r="A337" s="359">
        <v>10</v>
      </c>
      <c r="B337" s="360" t="s">
        <v>421</v>
      </c>
      <c r="C337" s="351">
        <v>0.5</v>
      </c>
      <c r="D337" s="352">
        <f>($O$9*1.08*1.1368*1.5*1.15)/165.6*C337</f>
        <v>24.17121</v>
      </c>
      <c r="E337" s="352">
        <f>($O$9*1.08*1.004*0.15*1.15)/165.6*C337</f>
        <v>2.1347549999999997</v>
      </c>
      <c r="F337" s="353"/>
      <c r="G337" s="353">
        <f>(D337+E337+F337)*$G$204</f>
        <v>6.892162829999999</v>
      </c>
      <c r="H337" s="353">
        <f>SUM(D337:G337)</f>
        <v>33.19812783</v>
      </c>
      <c r="I337" s="353">
        <f>H337*0.1</f>
        <v>3.3198127829999997</v>
      </c>
      <c r="J337" s="354">
        <f>(D337+E337+F337)*$J$205</f>
        <v>6.10298388</v>
      </c>
      <c r="K337" s="350">
        <f>(D337+E337+F337)*$K$205</f>
        <v>17.94066813</v>
      </c>
      <c r="L337" s="194">
        <f>(H337+I337+J337+K337)*$L$15</f>
        <v>12.1123185246</v>
      </c>
      <c r="M337" s="194">
        <f>SUM(H337:L337)</f>
        <v>72.6739111476</v>
      </c>
      <c r="N337" s="193">
        <f>(M337+M337*$N$15)+(M338+M338*118%)</f>
        <v>85.755215154168</v>
      </c>
    </row>
    <row r="338" spans="1:14" ht="14.25" hidden="1">
      <c r="A338" s="14" t="s">
        <v>255</v>
      </c>
      <c r="B338" s="84"/>
      <c r="G338" s="24"/>
      <c r="H338" s="24"/>
      <c r="I338" s="24"/>
      <c r="J338" s="347"/>
      <c r="K338" s="346"/>
      <c r="N338" s="349"/>
    </row>
    <row r="339" spans="1:11" ht="14.25" hidden="1">
      <c r="A339" s="14" t="s">
        <v>256</v>
      </c>
      <c r="B339" s="84"/>
      <c r="D339" s="227">
        <f>($O$9*1.08*1.1368*1.5*1.15)/165.6*C339</f>
        <v>0</v>
      </c>
      <c r="G339" s="24"/>
      <c r="H339" s="24"/>
      <c r="I339" s="24"/>
      <c r="J339" s="347"/>
      <c r="K339" s="346"/>
    </row>
    <row r="340" spans="10:11" ht="14.25" hidden="1">
      <c r="J340" s="346"/>
      <c r="K340" s="346"/>
    </row>
    <row r="341" spans="1:13" ht="14.25" hidden="1">
      <c r="A341" s="186"/>
      <c r="B341" s="186" t="s">
        <v>190</v>
      </c>
      <c r="C341" s="295"/>
      <c r="D341" s="186"/>
      <c r="E341" s="186"/>
      <c r="F341" s="186"/>
      <c r="G341" s="186"/>
      <c r="H341" s="72"/>
      <c r="I341" s="72"/>
      <c r="J341" s="348"/>
      <c r="K341" s="346"/>
      <c r="M341" s="14" t="s">
        <v>285</v>
      </c>
    </row>
    <row r="342" spans="1:11" ht="14.25" hidden="1">
      <c r="A342" s="72"/>
      <c r="B342" s="72"/>
      <c r="C342" s="296"/>
      <c r="D342" s="72"/>
      <c r="E342" s="72"/>
      <c r="F342" s="72"/>
      <c r="G342" s="72"/>
      <c r="H342" s="72"/>
      <c r="I342" s="72"/>
      <c r="J342" s="348"/>
      <c r="K342" s="346"/>
    </row>
    <row r="343" spans="1:13" ht="14.25" hidden="1">
      <c r="A343" s="72"/>
      <c r="B343" s="72" t="s">
        <v>223</v>
      </c>
      <c r="C343" s="296"/>
      <c r="D343" s="72"/>
      <c r="E343" s="72"/>
      <c r="F343" s="72"/>
      <c r="G343" s="72"/>
      <c r="H343" s="72"/>
      <c r="I343" s="72"/>
      <c r="J343" s="348"/>
      <c r="K343" s="346"/>
      <c r="M343" s="14" t="s">
        <v>368</v>
      </c>
    </row>
    <row r="344" spans="1:11" ht="14.25" hidden="1">
      <c r="A344" s="72"/>
      <c r="B344" s="72"/>
      <c r="C344" s="296"/>
      <c r="D344" s="72"/>
      <c r="E344" s="72"/>
      <c r="F344" s="72"/>
      <c r="G344" s="72"/>
      <c r="H344" s="72"/>
      <c r="I344" s="72"/>
      <c r="J344" s="348"/>
      <c r="K344" s="346"/>
    </row>
    <row r="345" spans="1:11" ht="14.25" hidden="1">
      <c r="A345" s="72"/>
      <c r="B345" s="72" t="s">
        <v>231</v>
      </c>
      <c r="C345" s="296"/>
      <c r="D345" s="72"/>
      <c r="E345" s="72"/>
      <c r="F345" s="72"/>
      <c r="G345" s="72"/>
      <c r="H345" s="72"/>
      <c r="I345" s="72"/>
      <c r="J345" s="348"/>
      <c r="K345" s="346"/>
    </row>
    <row r="346" spans="1:13" ht="14.25" hidden="1">
      <c r="A346" s="72"/>
      <c r="B346" s="72" t="s">
        <v>7</v>
      </c>
      <c r="C346" s="296"/>
      <c r="D346" s="72"/>
      <c r="E346" s="72"/>
      <c r="F346" s="72"/>
      <c r="G346" s="72"/>
      <c r="H346" s="72"/>
      <c r="I346" s="72"/>
      <c r="J346" s="348"/>
      <c r="K346" s="346"/>
      <c r="M346" s="14" t="s">
        <v>397</v>
      </c>
    </row>
    <row r="347" spans="10:11" ht="14.25">
      <c r="J347" s="346"/>
      <c r="K347" s="346"/>
    </row>
    <row r="348" spans="10:11" ht="14.25">
      <c r="J348" s="346"/>
      <c r="K348" s="346"/>
    </row>
    <row r="349" spans="10:11" ht="14.25">
      <c r="J349" s="346"/>
      <c r="K349" s="346"/>
    </row>
    <row r="350" spans="10:11" ht="14.25">
      <c r="J350" s="346"/>
      <c r="K350" s="346"/>
    </row>
    <row r="351" spans="10:11" ht="14.25">
      <c r="J351" s="346"/>
      <c r="K351" s="346"/>
    </row>
    <row r="352" spans="10:11" ht="14.25">
      <c r="J352" s="346"/>
      <c r="K352" s="346"/>
    </row>
    <row r="353" spans="10:11" ht="14.25">
      <c r="J353" s="346"/>
      <c r="K353" s="346"/>
    </row>
    <row r="354" spans="10:11" ht="14.25">
      <c r="J354" s="346"/>
      <c r="K354" s="346"/>
    </row>
    <row r="355" spans="10:11" ht="14.25">
      <c r="J355" s="346"/>
      <c r="K355" s="346"/>
    </row>
    <row r="356" spans="10:11" ht="14.25">
      <c r="J356" s="346"/>
      <c r="K356" s="346"/>
    </row>
    <row r="357" spans="10:11" ht="14.25">
      <c r="J357" s="346"/>
      <c r="K357" s="346"/>
    </row>
    <row r="358" spans="10:11" ht="14.25">
      <c r="J358" s="346"/>
      <c r="K358" s="346"/>
    </row>
    <row r="359" spans="10:11" ht="14.25">
      <c r="J359" s="346"/>
      <c r="K359" s="346"/>
    </row>
    <row r="360" spans="10:11" ht="14.25">
      <c r="J360" s="346"/>
      <c r="K360" s="346"/>
    </row>
    <row r="361" spans="10:11" ht="14.25">
      <c r="J361" s="346"/>
      <c r="K361" s="346"/>
    </row>
    <row r="362" spans="10:11" ht="14.25">
      <c r="J362" s="346"/>
      <c r="K362" s="346"/>
    </row>
    <row r="363" spans="10:11" ht="14.25">
      <c r="J363" s="346"/>
      <c r="K363" s="346"/>
    </row>
    <row r="364" spans="10:11" ht="14.25">
      <c r="J364" s="346"/>
      <c r="K364" s="346"/>
    </row>
    <row r="365" spans="10:11" ht="14.25">
      <c r="J365" s="346"/>
      <c r="K365" s="346"/>
    </row>
    <row r="366" spans="10:11" ht="14.25">
      <c r="J366" s="346"/>
      <c r="K366" s="346"/>
    </row>
    <row r="367" spans="10:11" ht="14.25">
      <c r="J367" s="346"/>
      <c r="K367" s="346"/>
    </row>
    <row r="368" spans="10:11" ht="14.25">
      <c r="J368" s="346"/>
      <c r="K368" s="346"/>
    </row>
    <row r="369" spans="10:11" ht="14.25">
      <c r="J369" s="346"/>
      <c r="K369" s="346"/>
    </row>
    <row r="370" spans="10:11" ht="14.25">
      <c r="J370" s="346"/>
      <c r="K370" s="346"/>
    </row>
    <row r="371" spans="10:11" ht="14.25">
      <c r="J371" s="346"/>
      <c r="K371" s="346"/>
    </row>
    <row r="372" spans="10:11" ht="14.25">
      <c r="J372" s="346"/>
      <c r="K372" s="346"/>
    </row>
    <row r="373" spans="10:11" ht="14.25">
      <c r="J373" s="346"/>
      <c r="K373" s="346"/>
    </row>
    <row r="374" spans="10:11" ht="14.25">
      <c r="J374" s="346"/>
      <c r="K374" s="346"/>
    </row>
    <row r="375" spans="10:11" ht="14.25">
      <c r="J375" s="346"/>
      <c r="K375" s="346"/>
    </row>
    <row r="376" spans="10:11" ht="14.25">
      <c r="J376" s="346"/>
      <c r="K376" s="346"/>
    </row>
    <row r="377" spans="10:11" ht="14.25">
      <c r="J377" s="346"/>
      <c r="K377" s="346"/>
    </row>
    <row r="378" spans="10:11" ht="14.25">
      <c r="J378" s="346"/>
      <c r="K378" s="346"/>
    </row>
    <row r="379" spans="10:11" ht="14.25">
      <c r="J379" s="346"/>
      <c r="K379" s="346"/>
    </row>
    <row r="380" spans="10:11" ht="14.25">
      <c r="J380" s="346"/>
      <c r="K380" s="346"/>
    </row>
    <row r="381" spans="10:11" ht="14.25">
      <c r="J381" s="346"/>
      <c r="K381" s="346"/>
    </row>
    <row r="382" spans="10:11" ht="14.25">
      <c r="J382" s="346"/>
      <c r="K382" s="346"/>
    </row>
    <row r="383" spans="10:11" ht="14.25">
      <c r="J383" s="346"/>
      <c r="K383" s="346"/>
    </row>
    <row r="384" spans="10:11" ht="14.25">
      <c r="J384" s="346"/>
      <c r="K384" s="346"/>
    </row>
    <row r="385" spans="10:11" ht="14.25">
      <c r="J385" s="346"/>
      <c r="K385" s="346"/>
    </row>
    <row r="386" spans="10:11" ht="14.25">
      <c r="J386" s="346"/>
      <c r="K386" s="346"/>
    </row>
    <row r="387" spans="10:11" ht="14.25">
      <c r="J387" s="346"/>
      <c r="K387" s="346"/>
    </row>
    <row r="388" spans="10:11" ht="14.25">
      <c r="J388" s="346"/>
      <c r="K388" s="346"/>
    </row>
    <row r="389" spans="10:11" ht="14.25">
      <c r="J389" s="346"/>
      <c r="K389" s="346"/>
    </row>
    <row r="390" spans="10:11" ht="14.25">
      <c r="J390" s="346"/>
      <c r="K390" s="346"/>
    </row>
    <row r="391" spans="10:11" ht="14.25">
      <c r="J391" s="346"/>
      <c r="K391" s="346"/>
    </row>
    <row r="392" spans="10:11" ht="14.25">
      <c r="J392" s="346"/>
      <c r="K392" s="346"/>
    </row>
    <row r="393" spans="10:11" ht="14.25">
      <c r="J393" s="346"/>
      <c r="K393" s="346"/>
    </row>
    <row r="394" spans="10:11" ht="14.25">
      <c r="J394" s="346"/>
      <c r="K394" s="346"/>
    </row>
    <row r="395" spans="10:11" ht="14.25">
      <c r="J395" s="346"/>
      <c r="K395" s="346"/>
    </row>
    <row r="396" spans="10:11" ht="14.25">
      <c r="J396" s="346"/>
      <c r="K396" s="346"/>
    </row>
    <row r="397" spans="10:11" ht="14.25">
      <c r="J397" s="346"/>
      <c r="K397" s="346"/>
    </row>
    <row r="398" spans="10:11" ht="14.25">
      <c r="J398" s="346"/>
      <c r="K398" s="346"/>
    </row>
    <row r="399" spans="10:11" ht="14.25">
      <c r="J399" s="346"/>
      <c r="K399" s="346"/>
    </row>
    <row r="400" spans="10:11" ht="14.25">
      <c r="J400" s="346"/>
      <c r="K400" s="346"/>
    </row>
    <row r="401" spans="10:11" ht="14.25">
      <c r="J401" s="346"/>
      <c r="K401" s="346"/>
    </row>
    <row r="402" spans="10:11" ht="14.25">
      <c r="J402" s="346"/>
      <c r="K402" s="346"/>
    </row>
    <row r="403" spans="10:11" ht="14.25">
      <c r="J403" s="346"/>
      <c r="K403" s="346"/>
    </row>
    <row r="404" spans="10:11" ht="14.25">
      <c r="J404" s="346"/>
      <c r="K404" s="346"/>
    </row>
    <row r="405" spans="10:11" ht="14.25">
      <c r="J405" s="346"/>
      <c r="K405" s="346"/>
    </row>
    <row r="406" spans="10:11" ht="14.25">
      <c r="J406" s="346"/>
      <c r="K406" s="346"/>
    </row>
    <row r="407" spans="10:11" ht="14.25">
      <c r="J407" s="346"/>
      <c r="K407" s="346"/>
    </row>
    <row r="408" spans="10:11" ht="14.25">
      <c r="J408" s="346"/>
      <c r="K408" s="346"/>
    </row>
    <row r="409" spans="10:11" ht="14.25">
      <c r="J409" s="346"/>
      <c r="K409" s="346"/>
    </row>
    <row r="410" spans="10:11" ht="14.25">
      <c r="J410" s="346"/>
      <c r="K410" s="346"/>
    </row>
    <row r="411" spans="10:11" ht="14.25">
      <c r="J411" s="346"/>
      <c r="K411" s="346"/>
    </row>
    <row r="412" spans="10:11" ht="14.25">
      <c r="J412" s="346"/>
      <c r="K412" s="346"/>
    </row>
    <row r="413" spans="10:11" ht="14.25">
      <c r="J413" s="346"/>
      <c r="K413" s="346"/>
    </row>
    <row r="414" spans="10:11" ht="14.25">
      <c r="J414" s="346"/>
      <c r="K414" s="346"/>
    </row>
    <row r="415" spans="10:11" ht="14.25">
      <c r="J415" s="346"/>
      <c r="K415" s="346"/>
    </row>
    <row r="416" spans="10:11" ht="14.25">
      <c r="J416" s="346"/>
      <c r="K416" s="346"/>
    </row>
    <row r="417" spans="10:11" ht="14.25">
      <c r="J417" s="346"/>
      <c r="K417" s="346"/>
    </row>
    <row r="418" spans="10:11" ht="14.25">
      <c r="J418" s="346"/>
      <c r="K418" s="346"/>
    </row>
    <row r="419" spans="10:11" ht="14.25">
      <c r="J419" s="346"/>
      <c r="K419" s="346"/>
    </row>
    <row r="420" spans="10:11" ht="14.25">
      <c r="J420" s="346"/>
      <c r="K420" s="346"/>
    </row>
    <row r="421" spans="10:11" ht="14.25">
      <c r="J421" s="346"/>
      <c r="K421" s="346"/>
    </row>
    <row r="422" spans="10:11" ht="14.25">
      <c r="J422" s="346"/>
      <c r="K422" s="346"/>
    </row>
    <row r="423" spans="10:11" ht="14.25">
      <c r="J423" s="346"/>
      <c r="K423" s="346"/>
    </row>
    <row r="424" spans="10:11" ht="14.25">
      <c r="J424" s="346"/>
      <c r="K424" s="346"/>
    </row>
    <row r="425" spans="10:11" ht="14.25">
      <c r="J425" s="346"/>
      <c r="K425" s="346"/>
    </row>
    <row r="426" spans="10:11" ht="14.25">
      <c r="J426" s="346"/>
      <c r="K426" s="346"/>
    </row>
    <row r="427" spans="10:11" ht="14.25">
      <c r="J427" s="346"/>
      <c r="K427" s="346"/>
    </row>
    <row r="428" spans="10:11" ht="14.25">
      <c r="J428" s="346"/>
      <c r="K428" s="346"/>
    </row>
    <row r="429" spans="10:11" ht="14.25">
      <c r="J429" s="346"/>
      <c r="K429" s="346"/>
    </row>
    <row r="430" spans="10:11" ht="14.25">
      <c r="J430" s="346"/>
      <c r="K430" s="346"/>
    </row>
    <row r="431" spans="10:11" ht="14.25">
      <c r="J431" s="346"/>
      <c r="K431" s="346"/>
    </row>
    <row r="432" spans="10:11" ht="14.25">
      <c r="J432" s="346"/>
      <c r="K432" s="346"/>
    </row>
    <row r="433" spans="10:11" ht="14.25">
      <c r="J433" s="346"/>
      <c r="K433" s="346"/>
    </row>
    <row r="434" spans="10:11" ht="14.25">
      <c r="J434" s="346"/>
      <c r="K434" s="346"/>
    </row>
    <row r="435" spans="10:11" ht="14.25">
      <c r="J435" s="346"/>
      <c r="K435" s="346"/>
    </row>
    <row r="436" spans="10:11" ht="14.25">
      <c r="J436" s="346"/>
      <c r="K436" s="346"/>
    </row>
    <row r="437" spans="10:11" ht="14.25">
      <c r="J437" s="346"/>
      <c r="K437" s="346"/>
    </row>
    <row r="438" spans="10:11" ht="14.25">
      <c r="J438" s="346"/>
      <c r="K438" s="346"/>
    </row>
    <row r="439" spans="10:11" ht="14.25">
      <c r="J439" s="346"/>
      <c r="K439" s="346"/>
    </row>
    <row r="440" spans="10:11" ht="14.25">
      <c r="J440" s="346"/>
      <c r="K440" s="346"/>
    </row>
    <row r="441" spans="10:11" ht="14.25">
      <c r="J441" s="346"/>
      <c r="K441" s="346"/>
    </row>
    <row r="442" spans="10:11" ht="14.25">
      <c r="J442" s="346"/>
      <c r="K442" s="346"/>
    </row>
    <row r="443" spans="10:11" ht="14.25">
      <c r="J443" s="346"/>
      <c r="K443" s="346"/>
    </row>
    <row r="444" spans="10:11" ht="14.25">
      <c r="J444" s="346"/>
      <c r="K444" s="346"/>
    </row>
    <row r="445" spans="10:11" ht="14.25">
      <c r="J445" s="346"/>
      <c r="K445" s="346"/>
    </row>
    <row r="446" spans="10:11" ht="14.25">
      <c r="J446" s="346"/>
      <c r="K446" s="346"/>
    </row>
    <row r="447" spans="10:11" ht="14.25">
      <c r="J447" s="346"/>
      <c r="K447" s="346"/>
    </row>
    <row r="448" spans="10:11" ht="14.25">
      <c r="J448" s="346"/>
      <c r="K448" s="346"/>
    </row>
    <row r="449" spans="10:11" ht="14.25">
      <c r="J449" s="346"/>
      <c r="K449" s="346"/>
    </row>
    <row r="450" spans="10:11" ht="14.25">
      <c r="J450" s="346"/>
      <c r="K450" s="346"/>
    </row>
    <row r="451" spans="10:11" ht="14.25">
      <c r="J451" s="346"/>
      <c r="K451" s="346"/>
    </row>
    <row r="452" spans="10:11" ht="14.25">
      <c r="J452" s="346"/>
      <c r="K452" s="346"/>
    </row>
    <row r="453" spans="10:11" ht="14.25">
      <c r="J453" s="346"/>
      <c r="K453" s="346"/>
    </row>
    <row r="454" spans="10:11" ht="14.25">
      <c r="J454" s="346"/>
      <c r="K454" s="346"/>
    </row>
    <row r="455" spans="10:11" ht="14.25">
      <c r="J455" s="346"/>
      <c r="K455" s="346"/>
    </row>
    <row r="456" spans="10:11" ht="14.25">
      <c r="J456" s="346"/>
      <c r="K456" s="346"/>
    </row>
    <row r="457" spans="10:11" ht="14.25">
      <c r="J457" s="346"/>
      <c r="K457" s="346"/>
    </row>
    <row r="458" spans="10:11" ht="14.25">
      <c r="J458" s="346"/>
      <c r="K458" s="346"/>
    </row>
    <row r="459" spans="10:11" ht="14.25">
      <c r="J459" s="346"/>
      <c r="K459" s="346"/>
    </row>
    <row r="460" spans="10:11" ht="14.25">
      <c r="J460" s="346"/>
      <c r="K460" s="346"/>
    </row>
    <row r="461" spans="10:11" ht="14.25">
      <c r="J461" s="346"/>
      <c r="K461" s="346"/>
    </row>
    <row r="462" spans="10:11" ht="14.25">
      <c r="J462" s="346"/>
      <c r="K462" s="346"/>
    </row>
    <row r="463" spans="10:11" ht="14.25">
      <c r="J463" s="346"/>
      <c r="K463" s="346"/>
    </row>
    <row r="464" spans="10:11" ht="14.25">
      <c r="J464" s="346"/>
      <c r="K464" s="346"/>
    </row>
    <row r="465" spans="10:11" ht="14.25">
      <c r="J465" s="346"/>
      <c r="K465" s="346"/>
    </row>
    <row r="466" spans="10:11" ht="14.25">
      <c r="J466" s="346"/>
      <c r="K466" s="346"/>
    </row>
    <row r="467" spans="10:11" ht="14.25">
      <c r="J467" s="346"/>
      <c r="K467" s="346"/>
    </row>
    <row r="468" spans="10:11" ht="14.25">
      <c r="J468" s="346"/>
      <c r="K468" s="346"/>
    </row>
    <row r="469" spans="10:11" ht="14.25">
      <c r="J469" s="346"/>
      <c r="K469" s="346"/>
    </row>
    <row r="470" spans="10:11" ht="14.25">
      <c r="J470" s="346"/>
      <c r="K470" s="346"/>
    </row>
    <row r="471" spans="10:11" ht="14.25">
      <c r="J471" s="346"/>
      <c r="K471" s="346"/>
    </row>
    <row r="472" spans="10:11" ht="14.25">
      <c r="J472" s="346"/>
      <c r="K472" s="346"/>
    </row>
    <row r="473" spans="10:11" ht="14.25">
      <c r="J473" s="346"/>
      <c r="K473" s="346"/>
    </row>
    <row r="474" spans="10:11" ht="14.25">
      <c r="J474" s="346"/>
      <c r="K474" s="346"/>
    </row>
    <row r="475" spans="10:11" ht="14.25">
      <c r="J475" s="346"/>
      <c r="K475" s="346"/>
    </row>
    <row r="476" spans="10:11" ht="14.25">
      <c r="J476" s="346"/>
      <c r="K476" s="346"/>
    </row>
    <row r="477" spans="10:11" ht="14.25">
      <c r="J477" s="346"/>
      <c r="K477" s="346"/>
    </row>
    <row r="478" spans="10:11" ht="14.25">
      <c r="J478" s="346"/>
      <c r="K478" s="346"/>
    </row>
    <row r="479" spans="10:11" ht="14.25">
      <c r="J479" s="346"/>
      <c r="K479" s="346"/>
    </row>
    <row r="480" spans="10:11" ht="14.25">
      <c r="J480" s="346"/>
      <c r="K480" s="346"/>
    </row>
    <row r="481" spans="10:11" ht="14.25">
      <c r="J481" s="346"/>
      <c r="K481" s="346"/>
    </row>
    <row r="482" spans="10:11" ht="14.25">
      <c r="J482" s="346"/>
      <c r="K482" s="346"/>
    </row>
    <row r="483" spans="10:11" ht="14.25">
      <c r="J483" s="346"/>
      <c r="K483" s="346"/>
    </row>
    <row r="484" spans="10:11" ht="14.25">
      <c r="J484" s="346"/>
      <c r="K484" s="346"/>
    </row>
    <row r="485" spans="10:11" ht="14.25">
      <c r="J485" s="346"/>
      <c r="K485" s="346"/>
    </row>
    <row r="486" spans="10:11" ht="14.25">
      <c r="J486" s="346"/>
      <c r="K486" s="346"/>
    </row>
    <row r="487" spans="10:11" ht="14.25">
      <c r="J487" s="346"/>
      <c r="K487" s="346"/>
    </row>
    <row r="488" spans="10:11" ht="14.25">
      <c r="J488" s="346"/>
      <c r="K488" s="346"/>
    </row>
    <row r="489" spans="10:11" ht="14.25">
      <c r="J489" s="346"/>
      <c r="K489" s="346"/>
    </row>
    <row r="490" spans="10:11" ht="14.25">
      <c r="J490" s="346"/>
      <c r="K490" s="346"/>
    </row>
    <row r="491" spans="10:11" ht="14.25">
      <c r="J491" s="346"/>
      <c r="K491" s="346"/>
    </row>
    <row r="492" spans="10:11" ht="14.25">
      <c r="J492" s="346"/>
      <c r="K492" s="346"/>
    </row>
    <row r="493" spans="10:11" ht="14.25">
      <c r="J493" s="346"/>
      <c r="K493" s="346"/>
    </row>
    <row r="494" spans="10:11" ht="14.25">
      <c r="J494" s="346"/>
      <c r="K494" s="346"/>
    </row>
    <row r="495" spans="10:11" ht="14.25">
      <c r="J495" s="346"/>
      <c r="K495" s="346"/>
    </row>
    <row r="496" spans="10:11" ht="14.25">
      <c r="J496" s="346"/>
      <c r="K496" s="346"/>
    </row>
    <row r="497" spans="10:11" ht="14.25">
      <c r="J497" s="346"/>
      <c r="K497" s="346"/>
    </row>
    <row r="498" spans="10:11" ht="14.25">
      <c r="J498" s="346"/>
      <c r="K498" s="346"/>
    </row>
    <row r="499" spans="10:11" ht="14.25">
      <c r="J499" s="346"/>
      <c r="K499" s="346"/>
    </row>
    <row r="500" spans="10:11" ht="14.25">
      <c r="J500" s="346"/>
      <c r="K500" s="346"/>
    </row>
    <row r="501" spans="10:11" ht="14.25">
      <c r="J501" s="346"/>
      <c r="K501" s="346"/>
    </row>
    <row r="502" spans="10:11" ht="14.25">
      <c r="J502" s="346"/>
      <c r="K502" s="346"/>
    </row>
    <row r="503" spans="10:11" ht="14.25">
      <c r="J503" s="346"/>
      <c r="K503" s="346"/>
    </row>
    <row r="504" spans="10:11" ht="14.25">
      <c r="J504" s="346"/>
      <c r="K504" s="346"/>
    </row>
    <row r="505" spans="10:11" ht="14.25">
      <c r="J505" s="346"/>
      <c r="K505" s="346"/>
    </row>
    <row r="506" spans="10:11" ht="14.25">
      <c r="J506" s="346"/>
      <c r="K506" s="346"/>
    </row>
    <row r="507" spans="10:11" ht="14.25">
      <c r="J507" s="346"/>
      <c r="K507" s="346"/>
    </row>
    <row r="508" spans="10:11" ht="14.25">
      <c r="J508" s="346"/>
      <c r="K508" s="346"/>
    </row>
    <row r="509" spans="10:11" ht="14.25">
      <c r="J509" s="346"/>
      <c r="K509" s="346"/>
    </row>
    <row r="510" spans="10:11" ht="14.25">
      <c r="J510" s="346"/>
      <c r="K510" s="346"/>
    </row>
    <row r="511" spans="10:11" ht="14.25">
      <c r="J511" s="346"/>
      <c r="K511" s="346"/>
    </row>
    <row r="512" spans="10:11" ht="14.25">
      <c r="J512" s="346"/>
      <c r="K512" s="346"/>
    </row>
    <row r="513" spans="10:11" ht="14.25">
      <c r="J513" s="346"/>
      <c r="K513" s="346"/>
    </row>
    <row r="514" spans="10:11" ht="14.25">
      <c r="J514" s="346"/>
      <c r="K514" s="346"/>
    </row>
    <row r="515" spans="10:11" ht="14.25">
      <c r="J515" s="346"/>
      <c r="K515" s="346"/>
    </row>
    <row r="516" spans="10:11" ht="14.25">
      <c r="J516" s="346"/>
      <c r="K516" s="346"/>
    </row>
    <row r="517" spans="10:11" ht="14.25">
      <c r="J517" s="346"/>
      <c r="K517" s="346"/>
    </row>
    <row r="518" spans="10:11" ht="14.25">
      <c r="J518" s="346"/>
      <c r="K518" s="346"/>
    </row>
    <row r="519" spans="10:11" ht="14.25">
      <c r="J519" s="346"/>
      <c r="K519" s="346"/>
    </row>
    <row r="520" spans="10:11" ht="14.25">
      <c r="J520" s="346"/>
      <c r="K520" s="346"/>
    </row>
    <row r="521" spans="10:11" ht="14.25">
      <c r="J521" s="346"/>
      <c r="K521" s="346"/>
    </row>
    <row r="522" spans="10:11" ht="14.25">
      <c r="J522" s="346"/>
      <c r="K522" s="346"/>
    </row>
    <row r="523" spans="10:11" ht="14.25">
      <c r="J523" s="346"/>
      <c r="K523" s="346"/>
    </row>
    <row r="524" spans="10:11" ht="14.25">
      <c r="J524" s="346"/>
      <c r="K524" s="346"/>
    </row>
    <row r="525" spans="10:11" ht="14.25">
      <c r="J525" s="346"/>
      <c r="K525" s="346"/>
    </row>
    <row r="526" spans="10:11" ht="14.25">
      <c r="J526" s="346"/>
      <c r="K526" s="346"/>
    </row>
    <row r="527" spans="10:11" ht="14.25">
      <c r="J527" s="346"/>
      <c r="K527" s="346"/>
    </row>
    <row r="528" spans="10:11" ht="14.25">
      <c r="J528" s="346"/>
      <c r="K528" s="346"/>
    </row>
    <row r="529" spans="10:11" ht="14.25">
      <c r="J529" s="346"/>
      <c r="K529" s="346"/>
    </row>
    <row r="530" spans="10:11" ht="14.25">
      <c r="J530" s="346"/>
      <c r="K530" s="346"/>
    </row>
    <row r="531" spans="10:11" ht="14.25">
      <c r="J531" s="346"/>
      <c r="K531" s="346"/>
    </row>
    <row r="532" spans="10:11" ht="14.25">
      <c r="J532" s="346"/>
      <c r="K532" s="346"/>
    </row>
    <row r="533" spans="10:11" ht="14.25">
      <c r="J533" s="346"/>
      <c r="K533" s="346"/>
    </row>
    <row r="534" spans="10:11" ht="14.25">
      <c r="J534" s="346"/>
      <c r="K534" s="346"/>
    </row>
    <row r="535" spans="10:11" ht="14.25">
      <c r="J535" s="346"/>
      <c r="K535" s="346"/>
    </row>
    <row r="536" spans="10:11" ht="14.25">
      <c r="J536" s="346"/>
      <c r="K536" s="346"/>
    </row>
    <row r="537" spans="10:11" ht="14.25">
      <c r="J537" s="346"/>
      <c r="K537" s="346"/>
    </row>
    <row r="538" spans="10:11" ht="14.25">
      <c r="J538" s="346"/>
      <c r="K538" s="346"/>
    </row>
    <row r="539" spans="10:11" ht="14.25">
      <c r="J539" s="346"/>
      <c r="K539" s="346"/>
    </row>
    <row r="540" spans="10:11" ht="14.25">
      <c r="J540" s="346"/>
      <c r="K540" s="346"/>
    </row>
    <row r="541" spans="10:11" ht="14.25">
      <c r="J541" s="346"/>
      <c r="K541" s="346"/>
    </row>
    <row r="542" spans="10:11" ht="14.25">
      <c r="J542" s="346"/>
      <c r="K542" s="346"/>
    </row>
    <row r="543" spans="10:11" ht="14.25">
      <c r="J543" s="346"/>
      <c r="K543" s="346"/>
    </row>
    <row r="544" spans="10:11" ht="14.25">
      <c r="J544" s="346"/>
      <c r="K544" s="346"/>
    </row>
    <row r="545" spans="10:11" ht="14.25">
      <c r="J545" s="346"/>
      <c r="K545" s="346"/>
    </row>
    <row r="546" spans="10:11" ht="14.25">
      <c r="J546" s="346"/>
      <c r="K546" s="346"/>
    </row>
    <row r="547" spans="10:11" ht="14.25">
      <c r="J547" s="346"/>
      <c r="K547" s="346"/>
    </row>
    <row r="548" spans="10:11" ht="14.25">
      <c r="J548" s="346"/>
      <c r="K548" s="346"/>
    </row>
    <row r="549" spans="10:11" ht="14.25">
      <c r="J549" s="346"/>
      <c r="K549" s="346"/>
    </row>
    <row r="550" spans="10:11" ht="14.25">
      <c r="J550" s="346"/>
      <c r="K550" s="346"/>
    </row>
    <row r="551" spans="10:11" ht="14.25">
      <c r="J551" s="346"/>
      <c r="K551" s="346"/>
    </row>
    <row r="552" spans="10:11" ht="14.25">
      <c r="J552" s="346"/>
      <c r="K552" s="346"/>
    </row>
    <row r="553" spans="10:11" ht="14.25">
      <c r="J553" s="346"/>
      <c r="K553" s="346"/>
    </row>
    <row r="554" spans="10:11" ht="14.25">
      <c r="J554" s="346"/>
      <c r="K554" s="346"/>
    </row>
    <row r="555" spans="10:11" ht="14.25">
      <c r="J555" s="346"/>
      <c r="K555" s="346"/>
    </row>
    <row r="556" spans="10:11" ht="14.25">
      <c r="J556" s="346"/>
      <c r="K556" s="346"/>
    </row>
    <row r="557" spans="10:11" ht="14.25">
      <c r="J557" s="346"/>
      <c r="K557" s="346"/>
    </row>
    <row r="558" spans="10:11" ht="14.25">
      <c r="J558" s="346"/>
      <c r="K558" s="346"/>
    </row>
    <row r="559" spans="10:11" ht="14.25">
      <c r="J559" s="346"/>
      <c r="K559" s="346"/>
    </row>
    <row r="560" spans="10:11" ht="14.25">
      <c r="J560" s="346"/>
      <c r="K560" s="346"/>
    </row>
    <row r="561" spans="10:11" ht="14.25">
      <c r="J561" s="346"/>
      <c r="K561" s="346"/>
    </row>
    <row r="562" spans="10:11" ht="14.25">
      <c r="J562" s="346"/>
      <c r="K562" s="346"/>
    </row>
    <row r="563" spans="10:11" ht="14.25">
      <c r="J563" s="346"/>
      <c r="K563" s="346"/>
    </row>
    <row r="564" spans="10:11" ht="14.25">
      <c r="J564" s="346"/>
      <c r="K564" s="346"/>
    </row>
    <row r="565" spans="10:11" ht="14.25">
      <c r="J565" s="346"/>
      <c r="K565" s="346"/>
    </row>
    <row r="566" spans="10:11" ht="14.25">
      <c r="J566" s="346"/>
      <c r="K566" s="346"/>
    </row>
    <row r="567" spans="10:11" ht="14.25">
      <c r="J567" s="346"/>
      <c r="K567" s="346"/>
    </row>
    <row r="568" spans="10:11" ht="14.25">
      <c r="J568" s="346"/>
      <c r="K568" s="346"/>
    </row>
    <row r="569" spans="10:11" ht="14.25">
      <c r="J569" s="346"/>
      <c r="K569" s="346"/>
    </row>
    <row r="570" spans="10:11" ht="14.25">
      <c r="J570" s="346"/>
      <c r="K570" s="346"/>
    </row>
    <row r="571" spans="10:11" ht="14.25">
      <c r="J571" s="346"/>
      <c r="K571" s="346"/>
    </row>
    <row r="572" spans="10:11" ht="14.25">
      <c r="J572" s="346"/>
      <c r="K572" s="346"/>
    </row>
    <row r="573" spans="10:11" ht="14.25">
      <c r="J573" s="346"/>
      <c r="K573" s="346"/>
    </row>
    <row r="574" spans="10:11" ht="14.25">
      <c r="J574" s="346"/>
      <c r="K574" s="346"/>
    </row>
    <row r="575" spans="10:11" ht="14.25">
      <c r="J575" s="346"/>
      <c r="K575" s="346"/>
    </row>
    <row r="576" spans="10:11" ht="14.25">
      <c r="J576" s="346"/>
      <c r="K576" s="346"/>
    </row>
    <row r="577" spans="10:11" ht="14.25">
      <c r="J577" s="346"/>
      <c r="K577" s="346"/>
    </row>
    <row r="578" spans="10:11" ht="14.25">
      <c r="J578" s="346"/>
      <c r="K578" s="346"/>
    </row>
    <row r="579" spans="10:11" ht="14.25">
      <c r="J579" s="346"/>
      <c r="K579" s="346"/>
    </row>
    <row r="580" spans="10:11" ht="14.25">
      <c r="J580" s="346"/>
      <c r="K580" s="346"/>
    </row>
    <row r="581" spans="10:11" ht="14.25">
      <c r="J581" s="346"/>
      <c r="K581" s="346"/>
    </row>
    <row r="582" spans="10:11" ht="14.25">
      <c r="J582" s="346"/>
      <c r="K582" s="346"/>
    </row>
    <row r="583" spans="10:11" ht="14.25">
      <c r="J583" s="346"/>
      <c r="K583" s="346"/>
    </row>
    <row r="584" spans="10:11" ht="14.25">
      <c r="J584" s="346"/>
      <c r="K584" s="346"/>
    </row>
    <row r="585" spans="10:11" ht="14.25">
      <c r="J585" s="346"/>
      <c r="K585" s="346"/>
    </row>
    <row r="586" spans="10:11" ht="14.25">
      <c r="J586" s="346"/>
      <c r="K586" s="346"/>
    </row>
    <row r="587" spans="10:11" ht="14.25">
      <c r="J587" s="346"/>
      <c r="K587" s="346"/>
    </row>
    <row r="588" spans="10:11" ht="14.25">
      <c r="J588" s="346"/>
      <c r="K588" s="346"/>
    </row>
    <row r="589" spans="10:11" ht="14.25">
      <c r="J589" s="346"/>
      <c r="K589" s="346"/>
    </row>
    <row r="590" spans="10:11" ht="14.25">
      <c r="J590" s="346"/>
      <c r="K590" s="346"/>
    </row>
    <row r="591" spans="10:11" ht="14.25">
      <c r="J591" s="346"/>
      <c r="K591" s="346"/>
    </row>
    <row r="592" spans="10:11" ht="14.25">
      <c r="J592" s="346"/>
      <c r="K592" s="346"/>
    </row>
    <row r="593" spans="10:11" ht="14.25">
      <c r="J593" s="346"/>
      <c r="K593" s="346"/>
    </row>
    <row r="594" spans="10:11" ht="14.25">
      <c r="J594" s="346"/>
      <c r="K594" s="346"/>
    </row>
    <row r="595" spans="10:11" ht="14.25">
      <c r="J595" s="346"/>
      <c r="K595" s="346"/>
    </row>
    <row r="596" spans="10:11" ht="14.25">
      <c r="J596" s="346"/>
      <c r="K596" s="346"/>
    </row>
    <row r="597" spans="10:11" ht="14.25">
      <c r="J597" s="346"/>
      <c r="K597" s="346"/>
    </row>
  </sheetData>
  <sheetProtection/>
  <mergeCells count="15">
    <mergeCell ref="A7:N7"/>
    <mergeCell ref="A8:N8"/>
    <mergeCell ref="A9:N9"/>
    <mergeCell ref="A11:A15"/>
    <mergeCell ref="B11:B15"/>
    <mergeCell ref="B3:N3"/>
    <mergeCell ref="B5:N5"/>
    <mergeCell ref="N335:N336"/>
    <mergeCell ref="A197:N197"/>
    <mergeCell ref="A198:N198"/>
    <mergeCell ref="A199:N199"/>
    <mergeCell ref="A201:A205"/>
    <mergeCell ref="B201:B205"/>
    <mergeCell ref="A200:N200"/>
    <mergeCell ref="A190:G190"/>
  </mergeCells>
  <printOptions/>
  <pageMargins left="1.25" right="0.15748031496062992" top="0.2362204724409449" bottom="0.2755905511811024" header="0.2362204724409449" footer="0.2755905511811024"/>
  <pageSetup horizontalDpi="600" verticalDpi="600" orientation="portrait" paperSize="9" scale="75" r:id="rId3"/>
  <rowBreaks count="2" manualBreakCount="2">
    <brk id="71" max="13" man="1"/>
    <brk id="147" max="1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252"/>
  <sheetViews>
    <sheetView view="pageBreakPreview" zoomScale="60" zoomScaleNormal="75" zoomScalePageLayoutView="0" workbookViewId="0" topLeftCell="A1">
      <selection activeCell="A121" sqref="A121:IV251"/>
    </sheetView>
  </sheetViews>
  <sheetFormatPr defaultColWidth="8.875" defaultRowHeight="12.75"/>
  <cols>
    <col min="1" max="1" width="3.75390625" style="2" customWidth="1"/>
    <col min="2" max="2" width="46.375" style="2" customWidth="1"/>
    <col min="3" max="3" width="17.625" style="2" customWidth="1"/>
    <col min="4" max="4" width="11.25390625" style="2" customWidth="1"/>
    <col min="5" max="5" width="10.125" style="2" hidden="1" customWidth="1"/>
    <col min="6" max="6" width="9.375" style="228" hidden="1" customWidth="1"/>
    <col min="7" max="7" width="10.25390625" style="228" hidden="1" customWidth="1"/>
    <col min="8" max="8" width="8.875" style="231" hidden="1" customWidth="1"/>
    <col min="9" max="9" width="11.00390625" style="231" hidden="1" customWidth="1"/>
    <col min="10" max="10" width="9.625" style="2" hidden="1" customWidth="1"/>
    <col min="11" max="11" width="12.125" style="2" hidden="1" customWidth="1"/>
    <col min="12" max="12" width="10.125" style="2" hidden="1" customWidth="1"/>
    <col min="13" max="13" width="11.125" style="2" hidden="1" customWidth="1"/>
    <col min="14" max="14" width="10.125" style="2" hidden="1" customWidth="1"/>
    <col min="15" max="15" width="11.75390625" style="2" hidden="1" customWidth="1"/>
    <col min="16" max="16" width="11.375" style="2" hidden="1" customWidth="1"/>
    <col min="17" max="17" width="16.25390625" style="231" hidden="1" customWidth="1"/>
    <col min="18" max="18" width="15.125" style="2" hidden="1" customWidth="1"/>
    <col min="19" max="19" width="10.125" style="231" hidden="1" customWidth="1"/>
    <col min="20" max="20" width="8.875" style="2" hidden="1" customWidth="1"/>
    <col min="21" max="21" width="10.625" style="2" hidden="1" customWidth="1"/>
    <col min="22" max="22" width="9.875" style="2" hidden="1" customWidth="1"/>
    <col min="23" max="23" width="11.25390625" style="2" hidden="1" customWidth="1"/>
    <col min="24" max="24" width="11.75390625" style="2" customWidth="1"/>
    <col min="25" max="25" width="10.00390625" style="2" customWidth="1"/>
    <col min="26" max="16384" width="8.875" style="2" customWidth="1"/>
  </cols>
  <sheetData>
    <row r="1" spans="2:4" ht="15">
      <c r="B1" s="285" t="s">
        <v>373</v>
      </c>
      <c r="D1" s="1"/>
    </row>
    <row r="2" spans="2:7" ht="15">
      <c r="B2" s="38" t="s">
        <v>370</v>
      </c>
      <c r="F2" s="231"/>
      <c r="G2" s="231"/>
    </row>
    <row r="3" ht="14.25">
      <c r="B3" s="14" t="s">
        <v>484</v>
      </c>
    </row>
    <row r="4" spans="2:7" ht="14.25">
      <c r="B4" s="14"/>
      <c r="F4" s="231"/>
      <c r="G4" s="231"/>
    </row>
    <row r="5" spans="2:7" ht="14.25">
      <c r="B5" s="14" t="s">
        <v>374</v>
      </c>
      <c r="F5" s="231"/>
      <c r="G5" s="231"/>
    </row>
    <row r="6" spans="1:25" ht="36.75" customHeight="1">
      <c r="A6" s="431" t="s">
        <v>116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</row>
    <row r="7" spans="1:25" ht="14.25">
      <c r="A7" s="440" t="s">
        <v>117</v>
      </c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/>
    </row>
    <row r="8" spans="1:26" ht="14.25">
      <c r="A8" s="440" t="s">
        <v>485</v>
      </c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0"/>
      <c r="X8" s="440"/>
      <c r="Y8" s="440"/>
      <c r="Z8" s="371">
        <v>3780</v>
      </c>
    </row>
    <row r="9" spans="6:26" ht="15" thickBot="1">
      <c r="F9" s="231"/>
      <c r="G9" s="231"/>
      <c r="Z9" s="371">
        <v>165.6</v>
      </c>
    </row>
    <row r="10" spans="1:25" ht="15" customHeight="1">
      <c r="A10" s="441" t="s">
        <v>71</v>
      </c>
      <c r="B10" s="436" t="s">
        <v>178</v>
      </c>
      <c r="C10" s="444" t="s">
        <v>372</v>
      </c>
      <c r="D10" s="433" t="s">
        <v>72</v>
      </c>
      <c r="E10" s="6" t="s">
        <v>35</v>
      </c>
      <c r="F10" s="232" t="s">
        <v>29</v>
      </c>
      <c r="G10" s="240" t="s">
        <v>36</v>
      </c>
      <c r="H10" s="232" t="s">
        <v>31</v>
      </c>
      <c r="I10" s="243" t="s">
        <v>33</v>
      </c>
      <c r="J10" s="6" t="s">
        <v>122</v>
      </c>
      <c r="K10" s="4" t="s">
        <v>197</v>
      </c>
      <c r="L10" s="6" t="s">
        <v>197</v>
      </c>
      <c r="M10" s="4" t="s">
        <v>197</v>
      </c>
      <c r="N10" s="6" t="s">
        <v>197</v>
      </c>
      <c r="O10" s="4" t="s">
        <v>45</v>
      </c>
      <c r="P10" s="6" t="s">
        <v>197</v>
      </c>
      <c r="Q10" s="232" t="s">
        <v>45</v>
      </c>
      <c r="R10" s="6" t="s">
        <v>197</v>
      </c>
      <c r="S10" s="232" t="s">
        <v>197</v>
      </c>
      <c r="T10" s="6" t="s">
        <v>196</v>
      </c>
      <c r="U10" s="433" t="s">
        <v>395</v>
      </c>
      <c r="V10" s="433" t="s">
        <v>396</v>
      </c>
      <c r="W10" s="3" t="s">
        <v>62</v>
      </c>
      <c r="X10" s="4" t="s">
        <v>257</v>
      </c>
      <c r="Y10" s="73" t="s">
        <v>142</v>
      </c>
    </row>
    <row r="11" spans="1:25" ht="15">
      <c r="A11" s="442"/>
      <c r="B11" s="437"/>
      <c r="C11" s="445"/>
      <c r="D11" s="447"/>
      <c r="E11" s="10" t="s">
        <v>61</v>
      </c>
      <c r="F11" s="233" t="s">
        <v>30</v>
      </c>
      <c r="G11" s="241" t="s">
        <v>37</v>
      </c>
      <c r="H11" s="233" t="s">
        <v>32</v>
      </c>
      <c r="I11" s="244" t="s">
        <v>34</v>
      </c>
      <c r="J11" s="10" t="s">
        <v>123</v>
      </c>
      <c r="K11" s="11" t="s">
        <v>124</v>
      </c>
      <c r="L11" s="10" t="s">
        <v>125</v>
      </c>
      <c r="M11" s="11" t="s">
        <v>127</v>
      </c>
      <c r="N11" s="10" t="s">
        <v>126</v>
      </c>
      <c r="O11" s="11" t="s">
        <v>46</v>
      </c>
      <c r="P11" s="10" t="s">
        <v>20</v>
      </c>
      <c r="Q11" s="233" t="s">
        <v>21</v>
      </c>
      <c r="R11" s="10" t="s">
        <v>55</v>
      </c>
      <c r="S11" s="233" t="s">
        <v>54</v>
      </c>
      <c r="T11" s="10" t="s">
        <v>230</v>
      </c>
      <c r="U11" s="434"/>
      <c r="V11" s="434"/>
      <c r="W11" s="7" t="s">
        <v>63</v>
      </c>
      <c r="X11" s="11" t="s">
        <v>24</v>
      </c>
      <c r="Y11" s="196" t="s">
        <v>70</v>
      </c>
    </row>
    <row r="12" spans="1:25" ht="15">
      <c r="A12" s="442"/>
      <c r="B12" s="437"/>
      <c r="C12" s="445"/>
      <c r="D12" s="447"/>
      <c r="E12" s="10" t="s">
        <v>143</v>
      </c>
      <c r="F12" s="99"/>
      <c r="G12" s="340">
        <v>0.15</v>
      </c>
      <c r="H12" s="99"/>
      <c r="I12" s="245">
        <v>0.342</v>
      </c>
      <c r="J12" s="16"/>
      <c r="K12" s="17" t="s">
        <v>57</v>
      </c>
      <c r="L12" s="16"/>
      <c r="M12" s="17"/>
      <c r="N12" s="16"/>
      <c r="O12" s="15" t="s">
        <v>47</v>
      </c>
      <c r="P12" s="18"/>
      <c r="Q12" s="234"/>
      <c r="R12" s="18" t="s">
        <v>56</v>
      </c>
      <c r="S12" s="234" t="s">
        <v>22</v>
      </c>
      <c r="T12" s="14"/>
      <c r="U12" s="434"/>
      <c r="V12" s="434"/>
      <c r="W12" s="41">
        <v>0.15</v>
      </c>
      <c r="X12" s="11" t="s">
        <v>283</v>
      </c>
      <c r="Y12" s="196" t="s">
        <v>176</v>
      </c>
    </row>
    <row r="13" spans="1:25" ht="15.75" thickBot="1">
      <c r="A13" s="443"/>
      <c r="B13" s="438"/>
      <c r="C13" s="446"/>
      <c r="D13" s="448"/>
      <c r="E13" s="22"/>
      <c r="F13" s="235"/>
      <c r="G13" s="242"/>
      <c r="H13" s="235"/>
      <c r="I13" s="246"/>
      <c r="J13" s="22"/>
      <c r="K13" s="20" t="s">
        <v>58</v>
      </c>
      <c r="L13" s="22"/>
      <c r="M13" s="20"/>
      <c r="N13" s="22"/>
      <c r="O13" s="20"/>
      <c r="P13" s="22"/>
      <c r="Q13" s="235"/>
      <c r="R13" s="22"/>
      <c r="S13" s="235"/>
      <c r="T13" s="22"/>
      <c r="U13" s="291">
        <v>0.155</v>
      </c>
      <c r="V13" s="291">
        <v>0.78</v>
      </c>
      <c r="W13" s="19"/>
      <c r="X13" s="28" t="s">
        <v>176</v>
      </c>
      <c r="Y13" s="197">
        <v>0.18</v>
      </c>
    </row>
    <row r="14" spans="1:25" ht="15" thickBot="1">
      <c r="A14" s="3">
        <v>1</v>
      </c>
      <c r="B14" s="4">
        <v>2</v>
      </c>
      <c r="C14" s="5"/>
      <c r="D14" s="5">
        <v>3</v>
      </c>
      <c r="E14" s="297"/>
      <c r="F14" s="298"/>
      <c r="G14" s="299"/>
      <c r="H14" s="298"/>
      <c r="I14" s="300"/>
      <c r="J14" s="297"/>
      <c r="K14" s="301"/>
      <c r="L14" s="297"/>
      <c r="M14" s="297"/>
      <c r="N14" s="297"/>
      <c r="O14" s="297"/>
      <c r="P14" s="297"/>
      <c r="Q14" s="298"/>
      <c r="R14" s="297"/>
      <c r="S14" s="298"/>
      <c r="T14" s="297"/>
      <c r="U14" s="301"/>
      <c r="V14" s="301"/>
      <c r="W14" s="302"/>
      <c r="X14" s="4">
        <v>4</v>
      </c>
      <c r="Y14" s="5">
        <v>5</v>
      </c>
    </row>
    <row r="15" spans="1:25" ht="13.5" customHeight="1">
      <c r="A15" s="301">
        <v>1</v>
      </c>
      <c r="B15" s="301" t="s">
        <v>64</v>
      </c>
      <c r="C15" s="301"/>
      <c r="D15" s="4"/>
      <c r="E15" s="301"/>
      <c r="F15" s="298"/>
      <c r="G15" s="298"/>
      <c r="H15" s="298"/>
      <c r="I15" s="300"/>
      <c r="J15" s="302"/>
      <c r="K15" s="301"/>
      <c r="L15" s="303"/>
      <c r="M15" s="297"/>
      <c r="N15" s="301"/>
      <c r="O15" s="297"/>
      <c r="P15" s="302"/>
      <c r="Q15" s="298"/>
      <c r="R15" s="297"/>
      <c r="S15" s="298"/>
      <c r="T15" s="297"/>
      <c r="U15" s="301"/>
      <c r="V15" s="301"/>
      <c r="W15" s="302"/>
      <c r="X15" s="301"/>
      <c r="Y15" s="301"/>
    </row>
    <row r="16" spans="1:25" ht="16.5">
      <c r="A16" s="8"/>
      <c r="B16" s="8" t="s">
        <v>73</v>
      </c>
      <c r="C16" s="11" t="s">
        <v>74</v>
      </c>
      <c r="D16" s="11"/>
      <c r="E16" s="8"/>
      <c r="F16" s="99"/>
      <c r="G16" s="99"/>
      <c r="H16" s="99"/>
      <c r="I16" s="85"/>
      <c r="J16" s="12"/>
      <c r="K16" s="8"/>
      <c r="L16" s="13"/>
      <c r="M16" s="14"/>
      <c r="N16" s="8"/>
      <c r="O16" s="14"/>
      <c r="P16" s="12"/>
      <c r="Q16" s="99"/>
      <c r="R16" s="14"/>
      <c r="S16" s="99"/>
      <c r="T16" s="14"/>
      <c r="U16" s="8"/>
      <c r="V16" s="8"/>
      <c r="W16" s="12"/>
      <c r="X16" s="8"/>
      <c r="Y16" s="8"/>
    </row>
    <row r="17" spans="1:25" ht="16.5">
      <c r="A17" s="8"/>
      <c r="B17" s="8" t="s">
        <v>296</v>
      </c>
      <c r="C17" s="11" t="s">
        <v>75</v>
      </c>
      <c r="D17" s="11" t="s">
        <v>199</v>
      </c>
      <c r="E17" s="8">
        <f>13.78/10</f>
        <v>1.378</v>
      </c>
      <c r="F17" s="114">
        <f>SUM(($Z$8*1.09*1.5*1.15)/Z9*E17)</f>
        <v>59.1420375</v>
      </c>
      <c r="G17" s="114">
        <f>SUM(($Z$8*1.09*G12*1.15)/Z9*E17)</f>
        <v>5.9142037499999995</v>
      </c>
      <c r="H17" s="114"/>
      <c r="I17" s="239">
        <f>(F17+G17+H17)*$I$12</f>
        <v>22.249234507500002</v>
      </c>
      <c r="J17" s="12"/>
      <c r="K17" s="8"/>
      <c r="L17" s="175">
        <f>0.03/10*28.17</f>
        <v>0.08451</v>
      </c>
      <c r="M17" s="14"/>
      <c r="N17" s="23">
        <f>40.8/10*2.97</f>
        <v>12.117600000000001</v>
      </c>
      <c r="O17" s="14"/>
      <c r="P17" s="12"/>
      <c r="Q17" s="99"/>
      <c r="R17" s="14"/>
      <c r="S17" s="99"/>
      <c r="T17" s="24">
        <f>SUM(F17:S17)</f>
        <v>99.5075857575</v>
      </c>
      <c r="U17" s="23">
        <f>(F17+G17+H17)*$U$13</f>
        <v>10.08371739375</v>
      </c>
      <c r="V17" s="23">
        <f>(F17+G17+H17)*$V$13</f>
        <v>50.743868175</v>
      </c>
      <c r="W17" s="117">
        <f>(T17+U17+V17)*$W$12</f>
        <v>24.0502756989375</v>
      </c>
      <c r="X17" s="23">
        <f>T17+U17+V17+W17</f>
        <v>184.38544702518752</v>
      </c>
      <c r="Y17" s="23">
        <f>X17*1.18</f>
        <v>217.57482748972126</v>
      </c>
    </row>
    <row r="18" spans="1:25" ht="13.5" customHeight="1">
      <c r="A18" s="8">
        <v>2</v>
      </c>
      <c r="B18" s="8" t="s">
        <v>64</v>
      </c>
      <c r="C18" s="11"/>
      <c r="D18" s="11"/>
      <c r="E18" s="8"/>
      <c r="F18" s="99"/>
      <c r="G18" s="99"/>
      <c r="H18" s="99"/>
      <c r="I18" s="85"/>
      <c r="J18" s="12"/>
      <c r="K18" s="8"/>
      <c r="L18" s="13"/>
      <c r="M18" s="14"/>
      <c r="N18" s="8"/>
      <c r="O18" s="14"/>
      <c r="P18" s="12"/>
      <c r="Q18" s="99"/>
      <c r="R18" s="14"/>
      <c r="S18" s="99"/>
      <c r="T18" s="14"/>
      <c r="U18" s="23"/>
      <c r="V18" s="8"/>
      <c r="W18" s="117"/>
      <c r="X18" s="8"/>
      <c r="Y18" s="8"/>
    </row>
    <row r="19" spans="1:25" ht="16.5">
      <c r="A19" s="8"/>
      <c r="B19" s="8" t="s">
        <v>76</v>
      </c>
      <c r="C19" s="11" t="s">
        <v>74</v>
      </c>
      <c r="D19" s="11"/>
      <c r="E19" s="8"/>
      <c r="F19" s="99"/>
      <c r="G19" s="99"/>
      <c r="H19" s="99"/>
      <c r="I19" s="85"/>
      <c r="J19" s="12"/>
      <c r="K19" s="8"/>
      <c r="L19" s="13"/>
      <c r="M19" s="14"/>
      <c r="N19" s="8"/>
      <c r="O19" s="14"/>
      <c r="P19" s="12"/>
      <c r="Q19" s="99"/>
      <c r="R19" s="14"/>
      <c r="S19" s="99"/>
      <c r="T19" s="14"/>
      <c r="U19" s="23"/>
      <c r="V19" s="8"/>
      <c r="W19" s="117"/>
      <c r="X19" s="8"/>
      <c r="Y19" s="8"/>
    </row>
    <row r="20" spans="1:25" ht="16.5">
      <c r="A20" s="8"/>
      <c r="B20" s="8" t="s">
        <v>309</v>
      </c>
      <c r="C20" s="11" t="s">
        <v>77</v>
      </c>
      <c r="D20" s="11" t="s">
        <v>199</v>
      </c>
      <c r="E20" s="8">
        <v>1.352</v>
      </c>
      <c r="F20" s="114">
        <f>SUM(($Z$8*1.1212*1.5*1.15)/Z9*E20)</f>
        <v>59.687082</v>
      </c>
      <c r="G20" s="114">
        <f>SUM(($Z$8*1.1212*G12*1.15)/Z9*E20)</f>
        <v>5.968708199999999</v>
      </c>
      <c r="H20" s="114"/>
      <c r="I20" s="239">
        <f>(F20+G20+H20)*$I$12</f>
        <v>22.4542802484</v>
      </c>
      <c r="J20" s="12"/>
      <c r="K20" s="8"/>
      <c r="L20" s="175">
        <f>0.05/10*28.17</f>
        <v>0.14085</v>
      </c>
      <c r="M20" s="14"/>
      <c r="N20" s="23">
        <f>61.2/10*2.97</f>
        <v>18.1764</v>
      </c>
      <c r="O20" s="14"/>
      <c r="P20" s="12"/>
      <c r="Q20" s="99"/>
      <c r="R20" s="14"/>
      <c r="S20" s="99"/>
      <c r="T20" s="24">
        <f>SUM(F20:S20)</f>
        <v>106.4273204484</v>
      </c>
      <c r="U20" s="23">
        <f>(F20+G20+H20)*$U$13</f>
        <v>10.176647481</v>
      </c>
      <c r="V20" s="23">
        <f>(F20+G20+H20)*$V$13</f>
        <v>51.211516356</v>
      </c>
      <c r="W20" s="117">
        <f>(T20+U20+V20)*$W$12</f>
        <v>25.17232264281</v>
      </c>
      <c r="X20" s="23">
        <f>T20+U20+V20+W20</f>
        <v>192.98780692821</v>
      </c>
      <c r="Y20" s="23">
        <f>X20*1.18</f>
        <v>227.7256121752878</v>
      </c>
    </row>
    <row r="21" spans="1:25" ht="16.5">
      <c r="A21" s="8">
        <v>3</v>
      </c>
      <c r="B21" s="8" t="s">
        <v>291</v>
      </c>
      <c r="C21" s="11" t="s">
        <v>78</v>
      </c>
      <c r="D21" s="11" t="s">
        <v>199</v>
      </c>
      <c r="E21" s="8">
        <f>12/100</f>
        <v>0.12</v>
      </c>
      <c r="F21" s="114">
        <f>SUM(($Z$8*1.09*1.5*1.15)/Z9*E21)</f>
        <v>5.15025</v>
      </c>
      <c r="G21" s="114">
        <f>SUM(($Z$8*1.09*G12*1.15)/Z9*E21)</f>
        <v>0.515025</v>
      </c>
      <c r="H21" s="114"/>
      <c r="I21" s="239">
        <f>(F21+G21+H21)*$I$12</f>
        <v>1.93752405</v>
      </c>
      <c r="J21" s="12"/>
      <c r="K21" s="8"/>
      <c r="L21" s="13"/>
      <c r="M21" s="14"/>
      <c r="N21" s="23"/>
      <c r="O21" s="14"/>
      <c r="P21" s="12"/>
      <c r="Q21" s="99"/>
      <c r="R21" s="14"/>
      <c r="S21" s="99"/>
      <c r="T21" s="24">
        <f>SUM(F21:S21)</f>
        <v>7.60279905</v>
      </c>
      <c r="U21" s="23">
        <f>(F21+G21+H21)*$U$13</f>
        <v>0.8781176249999999</v>
      </c>
      <c r="V21" s="23">
        <f>(F21+G21+H21)*$V$13</f>
        <v>4.4189145</v>
      </c>
      <c r="W21" s="117">
        <f>(T21+U21+V21)*$W$12</f>
        <v>1.9349746762499997</v>
      </c>
      <c r="X21" s="23">
        <f>T21+U21+V21+W21</f>
        <v>14.83480585125</v>
      </c>
      <c r="Y21" s="23">
        <f>X21*1.18</f>
        <v>17.505070904474998</v>
      </c>
    </row>
    <row r="22" spans="1:25" ht="14.25">
      <c r="A22" s="8">
        <v>4</v>
      </c>
      <c r="B22" s="8" t="s">
        <v>65</v>
      </c>
      <c r="C22" s="11"/>
      <c r="D22" s="11"/>
      <c r="E22" s="8"/>
      <c r="F22" s="99"/>
      <c r="G22" s="99"/>
      <c r="H22" s="99"/>
      <c r="I22" s="85"/>
      <c r="J22" s="12"/>
      <c r="K22" s="8"/>
      <c r="L22" s="13"/>
      <c r="M22" s="14"/>
      <c r="N22" s="8"/>
      <c r="O22" s="14"/>
      <c r="P22" s="12"/>
      <c r="Q22" s="99"/>
      <c r="R22" s="14"/>
      <c r="S22" s="99"/>
      <c r="T22" s="14"/>
      <c r="U22" s="23"/>
      <c r="V22" s="8"/>
      <c r="W22" s="117"/>
      <c r="X22" s="8"/>
      <c r="Y22" s="8"/>
    </row>
    <row r="23" spans="1:25" ht="14.25">
      <c r="A23" s="8"/>
      <c r="B23" s="8" t="s">
        <v>66</v>
      </c>
      <c r="C23" s="11" t="s">
        <v>74</v>
      </c>
      <c r="D23" s="11"/>
      <c r="E23" s="8"/>
      <c r="F23" s="99"/>
      <c r="G23" s="99"/>
      <c r="H23" s="99"/>
      <c r="I23" s="85"/>
      <c r="J23" s="12"/>
      <c r="K23" s="8"/>
      <c r="L23" s="13"/>
      <c r="M23" s="14"/>
      <c r="N23" s="8"/>
      <c r="O23" s="14"/>
      <c r="P23" s="12"/>
      <c r="Q23" s="99"/>
      <c r="R23" s="14"/>
      <c r="S23" s="99"/>
      <c r="T23" s="14"/>
      <c r="U23" s="23"/>
      <c r="V23" s="8"/>
      <c r="W23" s="117"/>
      <c r="X23" s="8"/>
      <c r="Y23" s="8"/>
    </row>
    <row r="24" spans="1:25" ht="14.25">
      <c r="A24" s="8"/>
      <c r="B24" s="8" t="s">
        <v>292</v>
      </c>
      <c r="C24" s="11" t="s">
        <v>79</v>
      </c>
      <c r="D24" s="11" t="s">
        <v>128</v>
      </c>
      <c r="E24" s="8">
        <v>2.007</v>
      </c>
      <c r="F24" s="114">
        <f>SUM(($Z$8*1.142*1.5*1.15)/Z9*E24)</f>
        <v>90.24726375</v>
      </c>
      <c r="G24" s="114">
        <f>SUM(($Z$8*1.142*G12*1.15)/Z9*E24)</f>
        <v>9.024726374999998</v>
      </c>
      <c r="H24" s="114"/>
      <c r="I24" s="239">
        <f>(F24+G24+H24)*$I$12</f>
        <v>33.95102062275</v>
      </c>
      <c r="J24" s="117">
        <f>0.141*3*0.981*2.18</f>
        <v>0.9046193399999999</v>
      </c>
      <c r="K24" s="23">
        <f>0.048*48.52</f>
        <v>2.3289600000000004</v>
      </c>
      <c r="L24" s="13"/>
      <c r="M24" s="14"/>
      <c r="N24" s="8"/>
      <c r="O24" s="14"/>
      <c r="P24" s="12"/>
      <c r="Q24" s="99"/>
      <c r="R24" s="14"/>
      <c r="S24" s="99"/>
      <c r="T24" s="24">
        <f>SUM(F24:S24)</f>
        <v>136.45659008775002</v>
      </c>
      <c r="U24" s="23">
        <f>(F24+G24+H24)*$U$13</f>
        <v>15.387158469375</v>
      </c>
      <c r="V24" s="23">
        <f>(F24+G24+H24)*$V$13</f>
        <v>77.43215229750001</v>
      </c>
      <c r="W24" s="117">
        <f>(T24+U24+V24)*$W$12</f>
        <v>34.391385128193754</v>
      </c>
      <c r="X24" s="23">
        <f>T24+U24+V24+W24</f>
        <v>263.6672859828188</v>
      </c>
      <c r="Y24" s="23">
        <f>X24*1.18</f>
        <v>311.1273974597261</v>
      </c>
    </row>
    <row r="25" spans="1:25" ht="14.25">
      <c r="A25" s="8">
        <v>5</v>
      </c>
      <c r="B25" s="8" t="s">
        <v>65</v>
      </c>
      <c r="C25" s="11"/>
      <c r="D25" s="11"/>
      <c r="E25" s="8"/>
      <c r="F25" s="99"/>
      <c r="G25" s="99"/>
      <c r="H25" s="99"/>
      <c r="I25" s="85"/>
      <c r="J25" s="12"/>
      <c r="K25" s="8"/>
      <c r="L25" s="13"/>
      <c r="M25" s="14"/>
      <c r="N25" s="8"/>
      <c r="O25" s="14"/>
      <c r="P25" s="12"/>
      <c r="Q25" s="99"/>
      <c r="R25" s="14"/>
      <c r="S25" s="99"/>
      <c r="T25" s="14"/>
      <c r="U25" s="23"/>
      <c r="V25" s="8"/>
      <c r="W25" s="117"/>
      <c r="X25" s="8"/>
      <c r="Y25" s="8"/>
    </row>
    <row r="26" spans="1:25" ht="14.25">
      <c r="A26" s="8"/>
      <c r="B26" s="8" t="s">
        <v>66</v>
      </c>
      <c r="C26" s="11" t="s">
        <v>74</v>
      </c>
      <c r="D26" s="11"/>
      <c r="E26" s="8"/>
      <c r="F26" s="99"/>
      <c r="G26" s="99"/>
      <c r="H26" s="99"/>
      <c r="I26" s="85"/>
      <c r="J26" s="12"/>
      <c r="K26" s="8"/>
      <c r="L26" s="13"/>
      <c r="M26" s="14"/>
      <c r="N26" s="8"/>
      <c r="O26" s="14"/>
      <c r="P26" s="12"/>
      <c r="Q26" s="99"/>
      <c r="R26" s="14"/>
      <c r="S26" s="99"/>
      <c r="T26" s="14"/>
      <c r="U26" s="23"/>
      <c r="V26" s="8"/>
      <c r="W26" s="117"/>
      <c r="X26" s="8"/>
      <c r="Y26" s="8"/>
    </row>
    <row r="27" spans="1:25" ht="14.25">
      <c r="A27" s="8"/>
      <c r="B27" s="8" t="s">
        <v>293</v>
      </c>
      <c r="C27" s="11" t="s">
        <v>80</v>
      </c>
      <c r="D27" s="11" t="s">
        <v>128</v>
      </c>
      <c r="E27" s="8">
        <v>2.64</v>
      </c>
      <c r="F27" s="114">
        <f>SUM(($Z$8*1.142*1.5*1.15)/Z9*E27)</f>
        <v>118.7109</v>
      </c>
      <c r="G27" s="114">
        <f>SUM(($Z$8*1.142*G12*1.15)/Z9*E27)</f>
        <v>11.871089999999997</v>
      </c>
      <c r="H27" s="114"/>
      <c r="I27" s="239">
        <f>(F27+G27+H27)*$I$12</f>
        <v>44.65904058</v>
      </c>
      <c r="J27" s="117">
        <f>0.184*3*0.981*2.18</f>
        <v>1.1804961600000001</v>
      </c>
      <c r="K27" s="23">
        <f>0.048*48.52</f>
        <v>2.3289600000000004</v>
      </c>
      <c r="L27" s="13"/>
      <c r="M27" s="14"/>
      <c r="N27" s="8"/>
      <c r="O27" s="14"/>
      <c r="P27" s="12"/>
      <c r="Q27" s="99"/>
      <c r="R27" s="14"/>
      <c r="S27" s="99"/>
      <c r="T27" s="24">
        <f>SUM(F27:S27)</f>
        <v>178.75048673999999</v>
      </c>
      <c r="U27" s="23">
        <f>(F27+G27+H27)*$U$13</f>
        <v>20.240208449999997</v>
      </c>
      <c r="V27" s="23">
        <f>(F27+G27+H27)*$V$13</f>
        <v>101.8539522</v>
      </c>
      <c r="W27" s="117">
        <f>(T27+U27+V27)*$W$12</f>
        <v>45.1266971085</v>
      </c>
      <c r="X27" s="23">
        <f>T27+U27+V27+W27</f>
        <v>345.9713444985</v>
      </c>
      <c r="Y27" s="23">
        <f>X27*1.18</f>
        <v>408.24618650823</v>
      </c>
    </row>
    <row r="28" spans="1:25" ht="14.25">
      <c r="A28" s="8">
        <v>6</v>
      </c>
      <c r="B28" s="8" t="s">
        <v>65</v>
      </c>
      <c r="C28" s="11"/>
      <c r="D28" s="11"/>
      <c r="E28" s="8"/>
      <c r="F28" s="99"/>
      <c r="G28" s="99"/>
      <c r="H28" s="99"/>
      <c r="I28" s="85"/>
      <c r="J28" s="12"/>
      <c r="K28" s="8"/>
      <c r="L28" s="13"/>
      <c r="M28" s="14"/>
      <c r="N28" s="8"/>
      <c r="O28" s="14"/>
      <c r="P28" s="12"/>
      <c r="Q28" s="99"/>
      <c r="R28" s="14"/>
      <c r="S28" s="99"/>
      <c r="T28" s="14"/>
      <c r="U28" s="23"/>
      <c r="V28" s="8"/>
      <c r="W28" s="117"/>
      <c r="X28" s="8"/>
      <c r="Y28" s="8"/>
    </row>
    <row r="29" spans="1:25" ht="14.25">
      <c r="A29" s="8"/>
      <c r="B29" s="8" t="s">
        <v>200</v>
      </c>
      <c r="C29" s="11" t="s">
        <v>74</v>
      </c>
      <c r="D29" s="11"/>
      <c r="E29" s="8"/>
      <c r="F29" s="99"/>
      <c r="G29" s="99"/>
      <c r="H29" s="99"/>
      <c r="I29" s="85"/>
      <c r="J29" s="12"/>
      <c r="K29" s="8"/>
      <c r="L29" s="13"/>
      <c r="M29" s="14"/>
      <c r="N29" s="8"/>
      <c r="O29" s="14"/>
      <c r="P29" s="12"/>
      <c r="Q29" s="99"/>
      <c r="R29" s="14"/>
      <c r="S29" s="99"/>
      <c r="T29" s="14"/>
      <c r="U29" s="23"/>
      <c r="V29" s="8"/>
      <c r="W29" s="117"/>
      <c r="X29" s="8"/>
      <c r="Y29" s="8"/>
    </row>
    <row r="30" spans="1:25" ht="14.25">
      <c r="A30" s="8"/>
      <c r="B30" s="8" t="s">
        <v>294</v>
      </c>
      <c r="C30" s="11" t="s">
        <v>81</v>
      </c>
      <c r="D30" s="11" t="s">
        <v>128</v>
      </c>
      <c r="E30" s="8">
        <v>3.06</v>
      </c>
      <c r="F30" s="114">
        <f>SUM(($Z$8*1.142*1.5*1.15)/Z9*E30)</f>
        <v>137.596725</v>
      </c>
      <c r="G30" s="114">
        <f>SUM(($Z$8*1.142*G12*1.15)/Z9*E30)</f>
        <v>13.759672499999997</v>
      </c>
      <c r="H30" s="114"/>
      <c r="I30" s="239">
        <f>(F30+G30+H30)*$I$12</f>
        <v>51.763887945</v>
      </c>
      <c r="J30" s="117">
        <f>0.215*3*0.981*2.18</f>
        <v>1.3793841</v>
      </c>
      <c r="K30" s="23">
        <f>0.048*48.52</f>
        <v>2.3289600000000004</v>
      </c>
      <c r="L30" s="13"/>
      <c r="M30" s="14"/>
      <c r="N30" s="8"/>
      <c r="O30" s="14"/>
      <c r="P30" s="12"/>
      <c r="Q30" s="99"/>
      <c r="R30" s="14"/>
      <c r="S30" s="99"/>
      <c r="T30" s="24">
        <f>SUM(F30:S30)</f>
        <v>206.82862954499998</v>
      </c>
      <c r="U30" s="23">
        <f>(F30+G30+H30)*$U$13</f>
        <v>23.4602416125</v>
      </c>
      <c r="V30" s="23">
        <f>(F30+G30+H30)*$V$13</f>
        <v>118.05799004999999</v>
      </c>
      <c r="W30" s="117">
        <f>(T30+U30+V30)*$W$12</f>
        <v>52.25202918112499</v>
      </c>
      <c r="X30" s="23">
        <f>T30+U30+V30+W30</f>
        <v>400.59889038862497</v>
      </c>
      <c r="Y30" s="23">
        <f>X30*1.18</f>
        <v>472.70669065857743</v>
      </c>
    </row>
    <row r="31" spans="1:25" ht="14.25">
      <c r="A31" s="8">
        <v>7</v>
      </c>
      <c r="B31" s="8" t="s">
        <v>68</v>
      </c>
      <c r="C31" s="11" t="s">
        <v>74</v>
      </c>
      <c r="D31" s="11"/>
      <c r="E31" s="8"/>
      <c r="F31" s="99"/>
      <c r="G31" s="99"/>
      <c r="H31" s="99"/>
      <c r="I31" s="85"/>
      <c r="J31" s="12"/>
      <c r="K31" s="8"/>
      <c r="L31" s="13"/>
      <c r="M31" s="14"/>
      <c r="N31" s="8"/>
      <c r="O31" s="14"/>
      <c r="P31" s="12"/>
      <c r="Q31" s="99"/>
      <c r="R31" s="14"/>
      <c r="S31" s="99"/>
      <c r="T31" s="14"/>
      <c r="U31" s="23"/>
      <c r="V31" s="8"/>
      <c r="W31" s="117"/>
      <c r="X31" s="8"/>
      <c r="Y31" s="8"/>
    </row>
    <row r="32" spans="1:25" ht="14.25">
      <c r="A32" s="8"/>
      <c r="B32" s="8" t="s">
        <v>310</v>
      </c>
      <c r="C32" s="11" t="s">
        <v>82</v>
      </c>
      <c r="D32" s="11" t="s">
        <v>130</v>
      </c>
      <c r="E32" s="8">
        <v>1.5</v>
      </c>
      <c r="F32" s="114">
        <f>SUM(($Z$8*1.1108*1.5*1.15)/Z9*E32)</f>
        <v>65.60662499999998</v>
      </c>
      <c r="G32" s="114">
        <f>SUM(($Z$8*1.1108*G12*1.15)/Z9*E32)</f>
        <v>6.560662499999999</v>
      </c>
      <c r="H32" s="114"/>
      <c r="I32" s="239">
        <f>(F32+G32+H32)*$I$12</f>
        <v>24.681212324999997</v>
      </c>
      <c r="J32" s="12"/>
      <c r="K32" s="23">
        <f>0.004*48.52</f>
        <v>0.19408000000000003</v>
      </c>
      <c r="L32" s="175">
        <f>0.005*28.17</f>
        <v>0.14085</v>
      </c>
      <c r="M32" s="14"/>
      <c r="N32" s="8"/>
      <c r="O32" s="14"/>
      <c r="P32" s="12"/>
      <c r="Q32" s="99"/>
      <c r="R32" s="14"/>
      <c r="S32" s="99"/>
      <c r="T32" s="24">
        <f>SUM(F32:S32)</f>
        <v>97.18342982499998</v>
      </c>
      <c r="U32" s="23">
        <f>(F32+G32+H32)*$U$13</f>
        <v>11.185929562499998</v>
      </c>
      <c r="V32" s="23">
        <f>(F32+G32+H32)*$V$13</f>
        <v>56.29048424999999</v>
      </c>
      <c r="W32" s="117">
        <f>(T32+U32+V32)*$W$12</f>
        <v>24.698976545624994</v>
      </c>
      <c r="X32" s="23">
        <f>T32+U32+V32+W32</f>
        <v>189.35882018312495</v>
      </c>
      <c r="Y32" s="23">
        <f>X32*1.18</f>
        <v>223.44340781608742</v>
      </c>
    </row>
    <row r="33" spans="1:25" ht="14.25">
      <c r="A33" s="8">
        <v>8</v>
      </c>
      <c r="B33" s="8" t="s">
        <v>68</v>
      </c>
      <c r="C33" s="11" t="s">
        <v>74</v>
      </c>
      <c r="D33" s="11"/>
      <c r="E33" s="8"/>
      <c r="F33" s="99"/>
      <c r="G33" s="99"/>
      <c r="H33" s="99"/>
      <c r="I33" s="85"/>
      <c r="J33" s="12"/>
      <c r="K33" s="8"/>
      <c r="L33" s="13"/>
      <c r="M33" s="14"/>
      <c r="N33" s="8"/>
      <c r="O33" s="14"/>
      <c r="P33" s="12"/>
      <c r="Q33" s="99"/>
      <c r="R33" s="14"/>
      <c r="S33" s="99"/>
      <c r="T33" s="14"/>
      <c r="U33" s="23"/>
      <c r="V33" s="8"/>
      <c r="W33" s="117"/>
      <c r="X33" s="8"/>
      <c r="Y33" s="8"/>
    </row>
    <row r="34" spans="1:25" ht="14.25">
      <c r="A34" s="8"/>
      <c r="B34" s="8" t="s">
        <v>311</v>
      </c>
      <c r="C34" s="11" t="s">
        <v>83</v>
      </c>
      <c r="D34" s="11" t="s">
        <v>130</v>
      </c>
      <c r="E34" s="8">
        <v>1.68</v>
      </c>
      <c r="F34" s="114">
        <f>SUM(($Z$8*1.1108*1.5*1.15)/Z9*E34)</f>
        <v>73.47941999999998</v>
      </c>
      <c r="G34" s="114">
        <f>SUM(($Z$8*1.1108*G12*1.15)/Z9*E34)</f>
        <v>7.347941999999999</v>
      </c>
      <c r="H34" s="114"/>
      <c r="I34" s="239">
        <f>(F34+G34+H34)*$I$12</f>
        <v>27.642957803999995</v>
      </c>
      <c r="J34" s="12"/>
      <c r="K34" s="23">
        <f>0.004*48.52</f>
        <v>0.19408000000000003</v>
      </c>
      <c r="L34" s="175">
        <f>0.005*28.17</f>
        <v>0.14085</v>
      </c>
      <c r="M34" s="24">
        <f>0.004*39.96</f>
        <v>0.15984</v>
      </c>
      <c r="N34" s="8"/>
      <c r="O34" s="14"/>
      <c r="P34" s="12"/>
      <c r="Q34" s="99"/>
      <c r="R34" s="14"/>
      <c r="S34" s="99"/>
      <c r="T34" s="24">
        <f>SUM(F34:S34)</f>
        <v>108.96508980399997</v>
      </c>
      <c r="U34" s="23">
        <f>(F34+G34+H34)*$U$13</f>
        <v>12.528241109999996</v>
      </c>
      <c r="V34" s="23">
        <f>(F34+G34+H34)*$V$13</f>
        <v>63.045342359999985</v>
      </c>
      <c r="W34" s="117">
        <f>(T34+U34+V34)*$W$12</f>
        <v>27.680800991099993</v>
      </c>
      <c r="X34" s="23">
        <f>T34+U34+V34+W34</f>
        <v>212.21947426509996</v>
      </c>
      <c r="Y34" s="23">
        <f>X34*1.18</f>
        <v>250.41897963281795</v>
      </c>
    </row>
    <row r="35" spans="1:25" ht="14.25">
      <c r="A35" s="8">
        <v>9</v>
      </c>
      <c r="B35" s="8" t="s">
        <v>68</v>
      </c>
      <c r="C35" s="11"/>
      <c r="D35" s="11"/>
      <c r="E35" s="8"/>
      <c r="F35" s="99"/>
      <c r="G35" s="99"/>
      <c r="H35" s="99"/>
      <c r="I35" s="85"/>
      <c r="J35" s="12"/>
      <c r="K35" s="8"/>
      <c r="L35" s="13"/>
      <c r="M35" s="14"/>
      <c r="N35" s="8"/>
      <c r="O35" s="14"/>
      <c r="P35" s="12"/>
      <c r="Q35" s="99"/>
      <c r="R35" s="14"/>
      <c r="S35" s="99"/>
      <c r="T35" s="14"/>
      <c r="U35" s="23"/>
      <c r="V35" s="8"/>
      <c r="W35" s="117"/>
      <c r="X35" s="8"/>
      <c r="Y35" s="8"/>
    </row>
    <row r="36" spans="1:25" ht="14.25">
      <c r="A36" s="8"/>
      <c r="B36" s="8" t="s">
        <v>69</v>
      </c>
      <c r="C36" s="11" t="s">
        <v>74</v>
      </c>
      <c r="D36" s="11"/>
      <c r="E36" s="8"/>
      <c r="F36" s="99"/>
      <c r="G36" s="99"/>
      <c r="H36" s="99"/>
      <c r="I36" s="85"/>
      <c r="J36" s="12"/>
      <c r="K36" s="8"/>
      <c r="L36" s="13"/>
      <c r="M36" s="14"/>
      <c r="N36" s="8"/>
      <c r="O36" s="14"/>
      <c r="P36" s="12"/>
      <c r="Q36" s="99"/>
      <c r="R36" s="14"/>
      <c r="S36" s="99"/>
      <c r="T36" s="14"/>
      <c r="U36" s="23"/>
      <c r="V36" s="8"/>
      <c r="W36" s="117"/>
      <c r="X36" s="8"/>
      <c r="Y36" s="8"/>
    </row>
    <row r="37" spans="1:25" ht="14.25">
      <c r="A37" s="8"/>
      <c r="B37" s="8" t="s">
        <v>295</v>
      </c>
      <c r="C37" s="11" t="s">
        <v>84</v>
      </c>
      <c r="D37" s="11" t="s">
        <v>130</v>
      </c>
      <c r="E37" s="8">
        <v>0.118</v>
      </c>
      <c r="F37" s="114">
        <f>SUM(($Z$8*1.09*1.5*1.15)/Z9*E37)</f>
        <v>5.0644125</v>
      </c>
      <c r="G37" s="114">
        <f>SUM(($Z$8*1.09*G12*1.15)/Z9*E37)</f>
        <v>0.50644125</v>
      </c>
      <c r="H37" s="114"/>
      <c r="I37" s="239">
        <f>(F37+G37+H37)*$I$12</f>
        <v>1.9052319825000004</v>
      </c>
      <c r="J37" s="12"/>
      <c r="K37" s="8"/>
      <c r="L37" s="13"/>
      <c r="M37" s="14"/>
      <c r="N37" s="8"/>
      <c r="O37" s="14"/>
      <c r="P37" s="12"/>
      <c r="Q37" s="99"/>
      <c r="R37" s="14"/>
      <c r="S37" s="99"/>
      <c r="T37" s="24">
        <f>SUM(F37:S37)</f>
        <v>7.4760857325000005</v>
      </c>
      <c r="U37" s="23">
        <f>(F37+G37+H37)*$U$13</f>
        <v>0.8634823312500001</v>
      </c>
      <c r="V37" s="23">
        <f>(F37+G37+H37)*$V$13</f>
        <v>4.3452659250000005</v>
      </c>
      <c r="W37" s="117">
        <f>(T37+U37+V37)*$W$12</f>
        <v>1.9027250983125</v>
      </c>
      <c r="X37" s="23">
        <f>T37+U37+V37+W37</f>
        <v>14.5875590870625</v>
      </c>
      <c r="Y37" s="23">
        <f>X37*1.18</f>
        <v>17.21331972273375</v>
      </c>
    </row>
    <row r="38" spans="1:25" ht="14.25">
      <c r="A38" s="8">
        <v>10</v>
      </c>
      <c r="B38" s="8" t="s">
        <v>121</v>
      </c>
      <c r="C38" s="11" t="s">
        <v>74</v>
      </c>
      <c r="D38" s="11"/>
      <c r="E38" s="8"/>
      <c r="F38" s="99"/>
      <c r="G38" s="99"/>
      <c r="H38" s="99"/>
      <c r="I38" s="85"/>
      <c r="J38" s="12"/>
      <c r="K38" s="8"/>
      <c r="L38" s="13"/>
      <c r="M38" s="14"/>
      <c r="N38" s="8"/>
      <c r="O38" s="14"/>
      <c r="P38" s="12"/>
      <c r="Q38" s="99"/>
      <c r="R38" s="14"/>
      <c r="S38" s="99"/>
      <c r="T38" s="14"/>
      <c r="U38" s="23"/>
      <c r="V38" s="8"/>
      <c r="W38" s="117"/>
      <c r="X38" s="8"/>
      <c r="Y38" s="8"/>
    </row>
    <row r="39" spans="1:25" ht="14.25">
      <c r="A39" s="8"/>
      <c r="B39" s="8" t="s">
        <v>312</v>
      </c>
      <c r="C39" s="11" t="s">
        <v>85</v>
      </c>
      <c r="D39" s="11" t="s">
        <v>129</v>
      </c>
      <c r="E39" s="8">
        <v>1.068</v>
      </c>
      <c r="F39" s="114">
        <f>SUM(($Z$8*1.1368*1.5*1.15)/Z9*E39)</f>
        <v>47.805282000000005</v>
      </c>
      <c r="G39" s="114">
        <f>SUM(($Z$8*1.1368*G12*1.15)/Z9*E39)</f>
        <v>4.7805282</v>
      </c>
      <c r="H39" s="114"/>
      <c r="I39" s="239">
        <f>(F39+G39+H39)*$I$12</f>
        <v>17.984347088400003</v>
      </c>
      <c r="J39" s="12"/>
      <c r="K39" s="8"/>
      <c r="L39" s="13"/>
      <c r="M39" s="24">
        <f>0.08*39.96</f>
        <v>3.1968</v>
      </c>
      <c r="N39" s="8"/>
      <c r="O39" s="14"/>
      <c r="P39" s="12"/>
      <c r="Q39" s="99"/>
      <c r="R39" s="14"/>
      <c r="S39" s="99"/>
      <c r="T39" s="24">
        <f>SUM(F39:S39)</f>
        <v>73.76695728840001</v>
      </c>
      <c r="U39" s="23">
        <f>(F39+G39+H39)*$U$13</f>
        <v>8.150800581</v>
      </c>
      <c r="V39" s="23">
        <f>(F39+G39+H39)*$V$13</f>
        <v>41.01693195600001</v>
      </c>
      <c r="W39" s="117">
        <f>(T39+U39+V39)*$W$12</f>
        <v>18.44020347381</v>
      </c>
      <c r="X39" s="23">
        <f>T39+U39+V39+W39</f>
        <v>141.37489329921002</v>
      </c>
      <c r="Y39" s="23">
        <f>X39*1.18</f>
        <v>166.82237409306782</v>
      </c>
    </row>
    <row r="40" spans="1:25" ht="14.25">
      <c r="A40" s="118">
        <v>11</v>
      </c>
      <c r="B40" s="118" t="s">
        <v>315</v>
      </c>
      <c r="C40" s="373" t="s">
        <v>86</v>
      </c>
      <c r="D40" s="182" t="s">
        <v>129</v>
      </c>
      <c r="E40" s="118">
        <v>0.73</v>
      </c>
      <c r="F40" s="114">
        <f>SUM(($Z$8*1.1368*1.5*1.15)/Z9*E40)</f>
        <v>32.675895000000004</v>
      </c>
      <c r="G40" s="114">
        <f>SUM(($Z$8*1.1368*G12*1.15)/Z9*E40)</f>
        <v>3.2675894999999997</v>
      </c>
      <c r="H40" s="180"/>
      <c r="I40" s="238">
        <f>(F40+G40+H40)*$I$12</f>
        <v>12.292671699000003</v>
      </c>
      <c r="J40" s="122"/>
      <c r="K40" s="118"/>
      <c r="L40" s="176"/>
      <c r="M40" s="121">
        <f>0.04*39.96</f>
        <v>1.5984</v>
      </c>
      <c r="N40" s="118"/>
      <c r="O40" s="123"/>
      <c r="P40" s="122"/>
      <c r="Q40" s="236"/>
      <c r="R40" s="123"/>
      <c r="S40" s="236"/>
      <c r="T40" s="121">
        <f>SUM(F40:S40)</f>
        <v>49.834556199000005</v>
      </c>
      <c r="U40" s="23">
        <f>(F40+G40+H40)*$U$13</f>
        <v>5.5712400975000005</v>
      </c>
      <c r="V40" s="23">
        <f>(F40+G40+H40)*$V$13</f>
        <v>28.035917910000006</v>
      </c>
      <c r="W40" s="117">
        <f>(T40+U40+V40)*$W$12</f>
        <v>12.516257130975001</v>
      </c>
      <c r="X40" s="120">
        <f>T40+U40+V40+W40</f>
        <v>95.95797133747502</v>
      </c>
      <c r="Y40" s="120">
        <f>X40*1.18</f>
        <v>113.2304061782205</v>
      </c>
    </row>
    <row r="41" spans="1:25" ht="14.25">
      <c r="A41" s="8">
        <v>12</v>
      </c>
      <c r="B41" s="8" t="s">
        <v>313</v>
      </c>
      <c r="C41" s="11" t="s">
        <v>87</v>
      </c>
      <c r="D41" s="11" t="s">
        <v>129</v>
      </c>
      <c r="E41" s="8">
        <v>0.97</v>
      </c>
      <c r="F41" s="114">
        <f>SUM(($Z$8*1.268*1.5*1.15)/Z9*E41)</f>
        <v>48.429674999999996</v>
      </c>
      <c r="G41" s="114">
        <f>SUM(($Z$8*1.268*G12*1.15)/Z9*E41)</f>
        <v>4.8429675</v>
      </c>
      <c r="H41" s="180"/>
      <c r="I41" s="239">
        <f>(F41+G41+H41)*$I$12</f>
        <v>18.219243735</v>
      </c>
      <c r="J41" s="12"/>
      <c r="K41" s="8"/>
      <c r="L41" s="13"/>
      <c r="M41" s="14"/>
      <c r="N41" s="8"/>
      <c r="O41" s="14"/>
      <c r="P41" s="12"/>
      <c r="Q41" s="99"/>
      <c r="R41" s="14"/>
      <c r="S41" s="99"/>
      <c r="T41" s="24">
        <f>SUM(F41:S41)</f>
        <v>71.491886235</v>
      </c>
      <c r="U41" s="23">
        <f>(F41+G41+H41)*$U$13</f>
        <v>8.2572595875</v>
      </c>
      <c r="V41" s="23">
        <f>(F41+G41+H41)*$V$13</f>
        <v>41.55266115</v>
      </c>
      <c r="W41" s="117">
        <f>(T41+U41+V41)*$W$12</f>
        <v>18.195271045875</v>
      </c>
      <c r="X41" s="23">
        <f>T41+U41+V41+W41</f>
        <v>139.497078018375</v>
      </c>
      <c r="Y41" s="23">
        <f>X41*1.18</f>
        <v>164.6065520616825</v>
      </c>
    </row>
    <row r="42" spans="1:25" ht="14.25">
      <c r="A42" s="8">
        <v>13</v>
      </c>
      <c r="B42" s="8" t="s">
        <v>139</v>
      </c>
      <c r="C42" s="11" t="s">
        <v>74</v>
      </c>
      <c r="D42" s="11"/>
      <c r="E42" s="8"/>
      <c r="F42" s="99"/>
      <c r="G42" s="99"/>
      <c r="H42" s="99"/>
      <c r="I42" s="85"/>
      <c r="J42" s="12"/>
      <c r="K42" s="8"/>
      <c r="L42" s="13"/>
      <c r="M42" s="14"/>
      <c r="N42" s="8"/>
      <c r="O42" s="14"/>
      <c r="P42" s="12"/>
      <c r="Q42" s="99"/>
      <c r="R42" s="14"/>
      <c r="S42" s="99"/>
      <c r="T42" s="14"/>
      <c r="U42" s="23"/>
      <c r="V42" s="8"/>
      <c r="W42" s="117"/>
      <c r="X42" s="8"/>
      <c r="Y42" s="8"/>
    </row>
    <row r="43" spans="1:25" ht="16.5">
      <c r="A43" s="8"/>
      <c r="B43" s="8" t="s">
        <v>314</v>
      </c>
      <c r="C43" s="11" t="s">
        <v>88</v>
      </c>
      <c r="D43" s="11" t="s">
        <v>199</v>
      </c>
      <c r="E43" s="8">
        <v>1.25</v>
      </c>
      <c r="F43" s="114">
        <f>SUM(($Z$8*1.0952*1.5*1.15)/Z9*E43)</f>
        <v>53.90437499999999</v>
      </c>
      <c r="G43" s="114">
        <f>SUM(($Z$8*1.0952*G12*1.15)/Z9*E43)</f>
        <v>5.390437499999999</v>
      </c>
      <c r="H43" s="180"/>
      <c r="I43" s="239">
        <f>(F43+G43+H43)*$I$12</f>
        <v>20.278825874999995</v>
      </c>
      <c r="J43" s="12"/>
      <c r="K43" s="8"/>
      <c r="L43" s="175">
        <f>0.24*28.17</f>
        <v>6.760800000000001</v>
      </c>
      <c r="M43" s="14"/>
      <c r="N43" s="8"/>
      <c r="O43" s="14"/>
      <c r="P43" s="12"/>
      <c r="Q43" s="99"/>
      <c r="R43" s="14"/>
      <c r="S43" s="99"/>
      <c r="T43" s="24">
        <f>SUM(F43:S43)</f>
        <v>86.33443837499998</v>
      </c>
      <c r="U43" s="23">
        <f>(F43+G43+H43)*$U$13</f>
        <v>9.190695937499997</v>
      </c>
      <c r="V43" s="23">
        <f>(F43+G43+H43)*$V$13</f>
        <v>46.24995374999999</v>
      </c>
      <c r="W43" s="117">
        <f>(T43+U43+V43)*$W$12</f>
        <v>21.26626320937499</v>
      </c>
      <c r="X43" s="23">
        <f>T43+U43+V43+W43</f>
        <v>163.04135127187493</v>
      </c>
      <c r="Y43" s="23">
        <f>X43*1.18</f>
        <v>192.3887945008124</v>
      </c>
    </row>
    <row r="44" spans="1:25" ht="14.25">
      <c r="A44" s="8">
        <v>14</v>
      </c>
      <c r="B44" s="8" t="s">
        <v>131</v>
      </c>
      <c r="C44" s="11" t="s">
        <v>74</v>
      </c>
      <c r="D44" s="11"/>
      <c r="E44" s="8"/>
      <c r="F44" s="114"/>
      <c r="G44" s="114"/>
      <c r="H44" s="99"/>
      <c r="I44" s="85"/>
      <c r="J44" s="12"/>
      <c r="K44" s="8"/>
      <c r="L44" s="13"/>
      <c r="M44" s="14"/>
      <c r="N44" s="8"/>
      <c r="O44" s="14"/>
      <c r="P44" s="12"/>
      <c r="Q44" s="99"/>
      <c r="R44" s="14"/>
      <c r="S44" s="99"/>
      <c r="T44" s="14"/>
      <c r="U44" s="23"/>
      <c r="V44" s="8"/>
      <c r="W44" s="117"/>
      <c r="X44" s="8"/>
      <c r="Y44" s="8"/>
    </row>
    <row r="45" spans="1:25" ht="16.5">
      <c r="A45" s="8"/>
      <c r="B45" s="8" t="s">
        <v>316</v>
      </c>
      <c r="C45" s="11" t="s">
        <v>89</v>
      </c>
      <c r="D45" s="11" t="s">
        <v>199</v>
      </c>
      <c r="E45" s="8">
        <v>0.585</v>
      </c>
      <c r="F45" s="114">
        <f>SUM(($Z$8*1.09*1.5*1.15)/Z9*E45)</f>
        <v>25.10746875</v>
      </c>
      <c r="G45" s="114">
        <f>SUM(($Z$8*1.09*G12*1.15)/Z9*E45)</f>
        <v>2.5107468749999997</v>
      </c>
      <c r="H45" s="180"/>
      <c r="I45" s="239">
        <f>(F45+G45+H45)*$I$12</f>
        <v>9.44542974375</v>
      </c>
      <c r="J45" s="12"/>
      <c r="K45" s="8"/>
      <c r="L45" s="175">
        <f>0.01*28.17</f>
        <v>0.2817</v>
      </c>
      <c r="M45" s="14"/>
      <c r="N45" s="8"/>
      <c r="O45" s="14"/>
      <c r="P45" s="12"/>
      <c r="Q45" s="99"/>
      <c r="R45" s="14"/>
      <c r="S45" s="99"/>
      <c r="T45" s="24">
        <f>SUM(F45:S45)</f>
        <v>37.345345368749996</v>
      </c>
      <c r="U45" s="23">
        <f>(F45+G45+H45)*$U$13</f>
        <v>4.280823421875</v>
      </c>
      <c r="V45" s="23">
        <f>(F45+G45+H45)*$V$13</f>
        <v>21.542208187499998</v>
      </c>
      <c r="W45" s="117">
        <f>(T45+U45+V45)*$W$12</f>
        <v>9.475256546718748</v>
      </c>
      <c r="X45" s="23">
        <f>T45+U45+V45+W45</f>
        <v>72.64363352484375</v>
      </c>
      <c r="Y45" s="23">
        <f>X45*1.18</f>
        <v>85.71948755931562</v>
      </c>
    </row>
    <row r="46" spans="1:25" ht="14.25">
      <c r="A46" s="8">
        <v>15</v>
      </c>
      <c r="B46" s="8" t="s">
        <v>140</v>
      </c>
      <c r="C46" s="11" t="s">
        <v>74</v>
      </c>
      <c r="D46" s="11"/>
      <c r="E46" s="8"/>
      <c r="F46" s="99"/>
      <c r="G46" s="99"/>
      <c r="H46" s="99"/>
      <c r="I46" s="85"/>
      <c r="J46" s="12"/>
      <c r="K46" s="8"/>
      <c r="L46" s="13"/>
      <c r="M46" s="14"/>
      <c r="N46" s="8"/>
      <c r="O46" s="14"/>
      <c r="P46" s="12"/>
      <c r="Q46" s="99"/>
      <c r="R46" s="14"/>
      <c r="S46" s="99"/>
      <c r="T46" s="14"/>
      <c r="U46" s="23"/>
      <c r="V46" s="8"/>
      <c r="W46" s="117"/>
      <c r="X46" s="8"/>
      <c r="Y46" s="8"/>
    </row>
    <row r="47" spans="1:25" s="14" customFormat="1" ht="14.25">
      <c r="A47" s="8"/>
      <c r="B47" s="8" t="s">
        <v>317</v>
      </c>
      <c r="C47" s="11" t="s">
        <v>90</v>
      </c>
      <c r="D47" s="11" t="s">
        <v>141</v>
      </c>
      <c r="E47" s="8">
        <v>0.762</v>
      </c>
      <c r="F47" s="114">
        <f>SUM(($Z$8*1.09*1.5*1.15)/Z9*E47)</f>
        <v>32.7040875</v>
      </c>
      <c r="G47" s="114">
        <f>SUM(($Z$8*1.09*G12*1.15)/Z9*E47)</f>
        <v>3.27040875</v>
      </c>
      <c r="H47" s="180"/>
      <c r="I47" s="239">
        <f>(F47+G47+H47)*$I$12</f>
        <v>12.303277717500002</v>
      </c>
      <c r="J47" s="12"/>
      <c r="K47" s="8"/>
      <c r="L47" s="175">
        <f>0.03*28.17</f>
        <v>0.8451000000000001</v>
      </c>
      <c r="N47" s="8"/>
      <c r="P47" s="12"/>
      <c r="Q47" s="99"/>
      <c r="S47" s="99"/>
      <c r="T47" s="24">
        <f>SUM(F47:S47)</f>
        <v>49.122873967500006</v>
      </c>
      <c r="U47" s="23">
        <f>(F47+G47+H47)*$U$13</f>
        <v>5.57604691875</v>
      </c>
      <c r="V47" s="23">
        <f>(F47+G47+H47)*$V$13</f>
        <v>28.060107075</v>
      </c>
      <c r="W47" s="117">
        <f>(T47+U47+V47)*$W$12</f>
        <v>12.413854194187502</v>
      </c>
      <c r="X47" s="23">
        <f>T47+U47+V47+W47</f>
        <v>95.17288215543752</v>
      </c>
      <c r="Y47" s="23">
        <f>X47*1.18</f>
        <v>112.30400094341627</v>
      </c>
    </row>
    <row r="48" spans="1:25" ht="14.25">
      <c r="A48" s="8">
        <v>16</v>
      </c>
      <c r="B48" s="8" t="s">
        <v>38</v>
      </c>
      <c r="C48" s="11" t="s">
        <v>74</v>
      </c>
      <c r="D48" s="11"/>
      <c r="E48" s="8"/>
      <c r="F48" s="114"/>
      <c r="G48" s="114"/>
      <c r="H48" s="114"/>
      <c r="I48" s="239"/>
      <c r="J48" s="12"/>
      <c r="K48" s="8"/>
      <c r="L48" s="13"/>
      <c r="M48" s="14"/>
      <c r="N48" s="8"/>
      <c r="O48" s="14"/>
      <c r="P48" s="12"/>
      <c r="Q48" s="99"/>
      <c r="R48" s="14"/>
      <c r="S48" s="99"/>
      <c r="T48" s="24"/>
      <c r="U48" s="23"/>
      <c r="V48" s="23"/>
      <c r="W48" s="117"/>
      <c r="X48" s="23"/>
      <c r="Y48" s="23"/>
    </row>
    <row r="49" spans="1:25" ht="16.5">
      <c r="A49" s="8"/>
      <c r="B49" s="8" t="s">
        <v>318</v>
      </c>
      <c r="C49" s="11" t="s">
        <v>91</v>
      </c>
      <c r="D49" s="11" t="s">
        <v>199</v>
      </c>
      <c r="E49" s="374">
        <f>1.781/10</f>
        <v>0.17809999999999998</v>
      </c>
      <c r="F49" s="180">
        <f>SUM(($Z$8*1.08*1.065*1.5*1.15)/Z9*E49)</f>
        <v>8.065993162499998</v>
      </c>
      <c r="G49" s="180">
        <f>SUM(($Z$8*1.08*1.065*G12*1.15)/Z9*E49)</f>
        <v>0.8065993162499998</v>
      </c>
      <c r="H49" s="180"/>
      <c r="I49" s="239">
        <f>(F49+G49+H49)*$I$12</f>
        <v>3.034426627732499</v>
      </c>
      <c r="J49" s="12"/>
      <c r="K49" s="8"/>
      <c r="L49" s="13"/>
      <c r="M49" s="14"/>
      <c r="N49" s="8"/>
      <c r="O49" s="14"/>
      <c r="P49" s="12"/>
      <c r="Q49" s="99"/>
      <c r="R49" s="14"/>
      <c r="S49" s="99"/>
      <c r="T49" s="24">
        <f>SUM(F49:S49)</f>
        <v>11.907019106482496</v>
      </c>
      <c r="U49" s="23">
        <f>(F49+G49+H49)*$U$13</f>
        <v>1.3752518342062496</v>
      </c>
      <c r="V49" s="23">
        <f>(F49+G49+H49)*$V$13</f>
        <v>6.920622133424998</v>
      </c>
      <c r="W49" s="117">
        <f>(T49+U49+V49)*$W$12</f>
        <v>3.0304339611170614</v>
      </c>
      <c r="X49" s="23">
        <f>T49+U49+V49+W49</f>
        <v>23.233327035230804</v>
      </c>
      <c r="Y49" s="23">
        <f>X49*1.18</f>
        <v>27.41532590157235</v>
      </c>
    </row>
    <row r="50" spans="1:25" ht="14.25">
      <c r="A50" s="8">
        <v>17</v>
      </c>
      <c r="B50" s="8" t="s">
        <v>39</v>
      </c>
      <c r="C50" s="11"/>
      <c r="D50" s="11"/>
      <c r="E50" s="8"/>
      <c r="F50" s="114"/>
      <c r="G50" s="114"/>
      <c r="H50" s="114"/>
      <c r="I50" s="239"/>
      <c r="J50" s="12"/>
      <c r="K50" s="8"/>
      <c r="L50" s="13"/>
      <c r="M50" s="14"/>
      <c r="N50" s="8"/>
      <c r="O50" s="14"/>
      <c r="P50" s="12"/>
      <c r="Q50" s="99"/>
      <c r="R50" s="14"/>
      <c r="S50" s="99"/>
      <c r="T50" s="24"/>
      <c r="U50" s="23"/>
      <c r="V50" s="23"/>
      <c r="W50" s="117"/>
      <c r="X50" s="23"/>
      <c r="Y50" s="23"/>
    </row>
    <row r="51" spans="1:25" ht="14.25">
      <c r="A51" s="8"/>
      <c r="B51" s="8" t="s">
        <v>286</v>
      </c>
      <c r="C51" s="11" t="s">
        <v>74</v>
      </c>
      <c r="D51" s="11"/>
      <c r="E51" s="8"/>
      <c r="F51" s="114"/>
      <c r="G51" s="114"/>
      <c r="H51" s="114"/>
      <c r="I51" s="239"/>
      <c r="J51" s="12"/>
      <c r="K51" s="8"/>
      <c r="L51" s="13"/>
      <c r="M51" s="14"/>
      <c r="N51" s="8"/>
      <c r="O51" s="14"/>
      <c r="P51" s="12"/>
      <c r="Q51" s="99"/>
      <c r="R51" s="14"/>
      <c r="S51" s="99"/>
      <c r="T51" s="24"/>
      <c r="U51" s="23"/>
      <c r="V51" s="23"/>
      <c r="W51" s="117"/>
      <c r="X51" s="23"/>
      <c r="Y51" s="23"/>
    </row>
    <row r="52" spans="1:25" ht="16.5">
      <c r="A52" s="8"/>
      <c r="B52" s="8" t="s">
        <v>319</v>
      </c>
      <c r="C52" s="11" t="s">
        <v>92</v>
      </c>
      <c r="D52" s="11" t="s">
        <v>199</v>
      </c>
      <c r="E52" s="8">
        <f>1.04/10</f>
        <v>0.10400000000000001</v>
      </c>
      <c r="F52" s="180">
        <f>SUM(($Z$8*1.08*1.075*1.5*1.15)/Z9*E52)</f>
        <v>4.754295</v>
      </c>
      <c r="G52" s="180">
        <f>SUM(($Z$8*1.08*1.075*G12*1.15)/Z9*E52)</f>
        <v>0.47542949999999995</v>
      </c>
      <c r="H52" s="180"/>
      <c r="I52" s="239">
        <f>(F52+G52+H52)*$I$12</f>
        <v>1.788565779</v>
      </c>
      <c r="J52" s="12"/>
      <c r="K52" s="8"/>
      <c r="L52" s="13"/>
      <c r="M52" s="14"/>
      <c r="N52" s="8"/>
      <c r="O52" s="14"/>
      <c r="P52" s="12"/>
      <c r="Q52" s="99"/>
      <c r="R52" s="14"/>
      <c r="S52" s="99"/>
      <c r="T52" s="24">
        <f>SUM(F52:S52)</f>
        <v>7.0182902789999995</v>
      </c>
      <c r="U52" s="23">
        <f>(F52+G52+H52)*$U$13</f>
        <v>0.8106072974999999</v>
      </c>
      <c r="V52" s="23">
        <f>(F52+G52+H52)*$V$13</f>
        <v>4.07918511</v>
      </c>
      <c r="W52" s="117">
        <f>(T52+U52+V52)*$W$12</f>
        <v>1.7862124029749997</v>
      </c>
      <c r="X52" s="23">
        <f>T52+U52+V52+W52</f>
        <v>13.694295089474998</v>
      </c>
      <c r="Y52" s="23">
        <f>X52*1.18</f>
        <v>16.159268205580496</v>
      </c>
    </row>
    <row r="53" spans="1:25" ht="14.25">
      <c r="A53" s="8">
        <v>18</v>
      </c>
      <c r="B53" s="8" t="s">
        <v>38</v>
      </c>
      <c r="C53" s="11" t="s">
        <v>74</v>
      </c>
      <c r="D53" s="11"/>
      <c r="E53" s="8"/>
      <c r="F53" s="114"/>
      <c r="G53" s="114"/>
      <c r="H53" s="114"/>
      <c r="I53" s="239"/>
      <c r="J53" s="12"/>
      <c r="K53" s="8"/>
      <c r="L53" s="13"/>
      <c r="M53" s="14"/>
      <c r="N53" s="8"/>
      <c r="O53" s="14"/>
      <c r="P53" s="12"/>
      <c r="Q53" s="99"/>
      <c r="R53" s="14"/>
      <c r="S53" s="99"/>
      <c r="T53" s="24"/>
      <c r="U53" s="23"/>
      <c r="V53" s="23"/>
      <c r="W53" s="117"/>
      <c r="X53" s="23"/>
      <c r="Y53" s="23"/>
    </row>
    <row r="54" spans="1:26" ht="16.5">
      <c r="A54" s="8"/>
      <c r="B54" s="8" t="s">
        <v>320</v>
      </c>
      <c r="C54" s="11" t="s">
        <v>93</v>
      </c>
      <c r="D54" s="11" t="s">
        <v>199</v>
      </c>
      <c r="E54" s="374">
        <f>2.028/10</f>
        <v>0.2028</v>
      </c>
      <c r="F54" s="180">
        <f>SUM(($Z$8*1.08*1.065*1.5*1.15)/Z9*E54)</f>
        <v>9.18463455</v>
      </c>
      <c r="G54" s="180">
        <f>SUM(($Z$8*1.08*1.065*G12*1.15)/Z9*E54)</f>
        <v>0.9184634549999999</v>
      </c>
      <c r="H54" s="180"/>
      <c r="I54" s="239">
        <f>(F54+G54+H54)*$I$12</f>
        <v>3.45525951771</v>
      </c>
      <c r="J54" s="14"/>
      <c r="K54" s="14"/>
      <c r="L54" s="14"/>
      <c r="M54" s="14"/>
      <c r="N54" s="14"/>
      <c r="O54" s="14"/>
      <c r="P54" s="14"/>
      <c r="Q54" s="85"/>
      <c r="R54" s="14"/>
      <c r="S54" s="85"/>
      <c r="T54" s="24">
        <f>SUM(F54:S54)</f>
        <v>13.55835752271</v>
      </c>
      <c r="U54" s="23">
        <f>(F54+G54+H54)*$U$13</f>
        <v>1.565980190775</v>
      </c>
      <c r="V54" s="23">
        <f>(F54+G54+H54)*$V$13</f>
        <v>7.8804164439</v>
      </c>
      <c r="W54" s="117">
        <f>(T54+U54+V54)*$W$12</f>
        <v>3.45071312360775</v>
      </c>
      <c r="X54" s="23">
        <f>T54+U54+V54+W54</f>
        <v>26.45546728099275</v>
      </c>
      <c r="Y54" s="23">
        <f>X54*1.18</f>
        <v>31.217451391571444</v>
      </c>
      <c r="Z54" s="14"/>
    </row>
    <row r="55" spans="1:25" ht="14.25">
      <c r="A55" s="8">
        <v>19</v>
      </c>
      <c r="B55" s="8" t="s">
        <v>39</v>
      </c>
      <c r="C55" s="11"/>
      <c r="D55" s="11"/>
      <c r="E55" s="8"/>
      <c r="F55" s="114"/>
      <c r="G55" s="114"/>
      <c r="H55" s="114"/>
      <c r="I55" s="239"/>
      <c r="J55" s="12"/>
      <c r="K55" s="8"/>
      <c r="L55" s="13"/>
      <c r="M55" s="14"/>
      <c r="N55" s="8"/>
      <c r="O55" s="14"/>
      <c r="P55" s="12"/>
      <c r="Q55" s="99"/>
      <c r="R55" s="14"/>
      <c r="S55" s="99"/>
      <c r="T55" s="24"/>
      <c r="U55" s="23"/>
      <c r="V55" s="23"/>
      <c r="W55" s="117"/>
      <c r="X55" s="23"/>
      <c r="Y55" s="23"/>
    </row>
    <row r="56" spans="1:25" ht="14.25">
      <c r="A56" s="8"/>
      <c r="B56" s="8" t="s">
        <v>40</v>
      </c>
      <c r="C56" s="11" t="s">
        <v>74</v>
      </c>
      <c r="D56" s="11"/>
      <c r="E56" s="8"/>
      <c r="F56" s="114"/>
      <c r="G56" s="114"/>
      <c r="H56" s="114"/>
      <c r="I56" s="239"/>
      <c r="J56" s="12"/>
      <c r="K56" s="8"/>
      <c r="L56" s="13"/>
      <c r="M56" s="14"/>
      <c r="N56" s="8"/>
      <c r="O56" s="14"/>
      <c r="P56" s="12"/>
      <c r="Q56" s="99"/>
      <c r="R56" s="14"/>
      <c r="S56" s="99"/>
      <c r="T56" s="24"/>
      <c r="U56" s="23"/>
      <c r="V56" s="23"/>
      <c r="W56" s="117"/>
      <c r="X56" s="23"/>
      <c r="Y56" s="23"/>
    </row>
    <row r="57" spans="1:25" ht="16.5">
      <c r="A57" s="8"/>
      <c r="B57" s="8" t="s">
        <v>321</v>
      </c>
      <c r="C57" s="11" t="s">
        <v>94</v>
      </c>
      <c r="D57" s="11" t="s">
        <v>199</v>
      </c>
      <c r="E57" s="8">
        <f>1.18/10</f>
        <v>0.118</v>
      </c>
      <c r="F57" s="180">
        <f>SUM(($Z$8*1.08*1.065*1.5*1.15)/Z9*E57)</f>
        <v>5.3441167499999995</v>
      </c>
      <c r="G57" s="180">
        <f>SUM(($Z$8*1.08*1.065*G12*1.15)/Z9*E57)</f>
        <v>0.534411675</v>
      </c>
      <c r="H57" s="180"/>
      <c r="I57" s="239">
        <f>(F57+G57+H57)*$I$12</f>
        <v>2.01045672135</v>
      </c>
      <c r="J57" s="14"/>
      <c r="K57" s="14"/>
      <c r="L57" s="14"/>
      <c r="M57" s="14"/>
      <c r="N57" s="14"/>
      <c r="O57" s="14"/>
      <c r="P57" s="14"/>
      <c r="Q57" s="85"/>
      <c r="R57" s="14"/>
      <c r="S57" s="85"/>
      <c r="T57" s="24">
        <f>SUM(F57:S57)</f>
        <v>7.8889851463500005</v>
      </c>
      <c r="U57" s="23">
        <f>(F57+G57+H57)*$U$13</f>
        <v>0.911171905875</v>
      </c>
      <c r="V57" s="23">
        <f>(F57+G57+H57)*$V$13</f>
        <v>4.5852521715</v>
      </c>
      <c r="W57" s="117">
        <f>(T57+U57+V57)*$W$12</f>
        <v>2.00781138355875</v>
      </c>
      <c r="X57" s="23">
        <f>T57+U57+V57+W57</f>
        <v>15.393220607283748</v>
      </c>
      <c r="Y57" s="23">
        <f>X57*1.18</f>
        <v>18.164000316594823</v>
      </c>
    </row>
    <row r="58" spans="1:25" ht="21.75" customHeight="1">
      <c r="A58" s="8">
        <v>20</v>
      </c>
      <c r="B58" s="8" t="s">
        <v>41</v>
      </c>
      <c r="C58" s="11"/>
      <c r="D58" s="11"/>
      <c r="E58" s="8"/>
      <c r="F58" s="114"/>
      <c r="G58" s="114"/>
      <c r="H58" s="114"/>
      <c r="I58" s="239"/>
      <c r="J58" s="12"/>
      <c r="K58" s="8"/>
      <c r="L58" s="13"/>
      <c r="M58" s="14"/>
      <c r="N58" s="8"/>
      <c r="O58" s="14"/>
      <c r="P58" s="12"/>
      <c r="Q58" s="99"/>
      <c r="R58" s="14"/>
      <c r="S58" s="99"/>
      <c r="T58" s="24"/>
      <c r="U58" s="23"/>
      <c r="V58" s="23"/>
      <c r="W58" s="117"/>
      <c r="X58" s="23"/>
      <c r="Y58" s="23"/>
    </row>
    <row r="59" spans="1:25" ht="14.25">
      <c r="A59" s="8"/>
      <c r="B59" s="8" t="s">
        <v>42</v>
      </c>
      <c r="C59" s="11"/>
      <c r="D59" s="11"/>
      <c r="E59" s="8"/>
      <c r="F59" s="114"/>
      <c r="G59" s="114"/>
      <c r="H59" s="114"/>
      <c r="I59" s="239"/>
      <c r="J59" s="12"/>
      <c r="K59" s="8"/>
      <c r="L59" s="13"/>
      <c r="M59" s="14"/>
      <c r="N59" s="8"/>
      <c r="O59" s="14"/>
      <c r="P59" s="12"/>
      <c r="Q59" s="99"/>
      <c r="R59" s="14"/>
      <c r="S59" s="99"/>
      <c r="T59" s="24"/>
      <c r="U59" s="23"/>
      <c r="V59" s="23"/>
      <c r="W59" s="117"/>
      <c r="X59" s="23"/>
      <c r="Y59" s="23"/>
    </row>
    <row r="60" spans="1:25" ht="14.25">
      <c r="A60" s="8"/>
      <c r="B60" s="8" t="s">
        <v>44</v>
      </c>
      <c r="C60" s="11" t="s">
        <v>74</v>
      </c>
      <c r="D60" s="8"/>
      <c r="E60" s="8"/>
      <c r="F60" s="99"/>
      <c r="G60" s="99"/>
      <c r="H60" s="99"/>
      <c r="I60" s="85"/>
      <c r="J60" s="12"/>
      <c r="K60" s="8"/>
      <c r="L60" s="13"/>
      <c r="M60" s="14"/>
      <c r="N60" s="8"/>
      <c r="O60" s="14"/>
      <c r="P60" s="12"/>
      <c r="Q60" s="99"/>
      <c r="R60" s="14"/>
      <c r="S60" s="99"/>
      <c r="T60" s="14"/>
      <c r="U60" s="23"/>
      <c r="V60" s="8"/>
      <c r="W60" s="117"/>
      <c r="X60" s="8"/>
      <c r="Y60" s="8"/>
    </row>
    <row r="61" spans="1:25" ht="16.5">
      <c r="A61" s="8"/>
      <c r="B61" s="8" t="s">
        <v>322</v>
      </c>
      <c r="C61" s="11" t="s">
        <v>95</v>
      </c>
      <c r="D61" s="11" t="s">
        <v>199</v>
      </c>
      <c r="E61" s="8">
        <f>4.19/10</f>
        <v>0.41900000000000004</v>
      </c>
      <c r="F61" s="180">
        <f>SUM(($Z$8*1.08*1.0952*1.5*1.15)/Z9*E61)</f>
        <v>19.51424622</v>
      </c>
      <c r="G61" s="180">
        <f>SUM(($Z$8*1.08*1.0952*G12)/Z9*E61)</f>
        <v>1.6968909756521742</v>
      </c>
      <c r="H61" s="180"/>
      <c r="I61" s="239">
        <f>(F61+G61+H61)*$I$12</f>
        <v>7.254208920913044</v>
      </c>
      <c r="J61" s="12"/>
      <c r="K61" s="8"/>
      <c r="L61" s="13"/>
      <c r="M61" s="14"/>
      <c r="N61" s="8"/>
      <c r="O61" s="24">
        <f>0.11/10*109.2</f>
        <v>1.2012</v>
      </c>
      <c r="P61" s="117">
        <f>3.37/10*22</f>
        <v>7.414000000000001</v>
      </c>
      <c r="Q61" s="114">
        <f>0.2/10*50</f>
        <v>1</v>
      </c>
      <c r="R61" s="24"/>
      <c r="S61" s="114"/>
      <c r="T61" s="24">
        <f>SUM(F61:S61)</f>
        <v>38.080546116565216</v>
      </c>
      <c r="U61" s="23">
        <f>(F61+G61+H61)*$U$13</f>
        <v>3.287726265326087</v>
      </c>
      <c r="V61" s="23">
        <f aca="true" t="shared" si="0" ref="V61:V106">(F61+G61+H61)*$V$13</f>
        <v>16.544687012608698</v>
      </c>
      <c r="W61" s="117">
        <f>(T61+U61+V61)*$W$12</f>
        <v>8.686943909175</v>
      </c>
      <c r="X61" s="23">
        <f>T61+U61+V61+W61</f>
        <v>66.599903303675</v>
      </c>
      <c r="Y61" s="23">
        <f>X61*1.18</f>
        <v>78.58788589833651</v>
      </c>
    </row>
    <row r="62" spans="1:25" ht="16.5">
      <c r="A62" s="8">
        <v>21</v>
      </c>
      <c r="B62" s="8" t="s">
        <v>53</v>
      </c>
      <c r="C62" s="11" t="s">
        <v>96</v>
      </c>
      <c r="D62" s="11" t="s">
        <v>199</v>
      </c>
      <c r="E62" s="374">
        <f>2.489/10</f>
        <v>0.24889999999999998</v>
      </c>
      <c r="F62" s="180">
        <f>SUM(($Z$8*1.08*1.0952*1.5*1.15)/Z9*E62)</f>
        <v>11.592114281999997</v>
      </c>
      <c r="G62" s="180">
        <f>SUM(($Z$8*1.08*1.0952*G12)/Z9*E62)</f>
        <v>1.0080099375652174</v>
      </c>
      <c r="H62" s="180"/>
      <c r="I62" s="239">
        <f>(F62+G62+H62)*$I$12</f>
        <v>4.309242483091304</v>
      </c>
      <c r="J62" s="12"/>
      <c r="K62" s="23">
        <f>0.143/10*48.52</f>
        <v>0.693836</v>
      </c>
      <c r="L62" s="13"/>
      <c r="M62" s="14"/>
      <c r="N62" s="8"/>
      <c r="O62" s="14"/>
      <c r="P62" s="117">
        <f>5.1/10*22</f>
        <v>11.22</v>
      </c>
      <c r="Q62" s="99"/>
      <c r="R62" s="24">
        <f>0.24/10*94.35</f>
        <v>2.2643999999999997</v>
      </c>
      <c r="S62" s="114">
        <f>5.31*0.5/10</f>
        <v>0.26549999999999996</v>
      </c>
      <c r="T62" s="24">
        <f>SUM(F62:S62)</f>
        <v>31.35310270265652</v>
      </c>
      <c r="U62" s="23">
        <f>(F62+G62+H62)*$U$13</f>
        <v>1.9530192540326083</v>
      </c>
      <c r="V62" s="23">
        <f t="shared" si="0"/>
        <v>9.828096891260868</v>
      </c>
      <c r="W62" s="117">
        <f>(T62+U62+V62)*$W$12</f>
        <v>6.4701328271925</v>
      </c>
      <c r="X62" s="23">
        <f>T62+U62+V62+W62</f>
        <v>49.6043516751425</v>
      </c>
      <c r="Y62" s="23">
        <f>X62*1.18</f>
        <v>58.53313497666815</v>
      </c>
    </row>
    <row r="63" spans="1:25" ht="14.25">
      <c r="A63" s="8">
        <v>22</v>
      </c>
      <c r="B63" s="8" t="s">
        <v>41</v>
      </c>
      <c r="C63" s="11"/>
      <c r="D63" s="8"/>
      <c r="E63" s="8"/>
      <c r="F63" s="99"/>
      <c r="G63" s="99"/>
      <c r="H63" s="99"/>
      <c r="I63" s="85"/>
      <c r="J63" s="12"/>
      <c r="K63" s="8"/>
      <c r="L63" s="13"/>
      <c r="M63" s="14"/>
      <c r="N63" s="8"/>
      <c r="O63" s="14"/>
      <c r="P63" s="12"/>
      <c r="Q63" s="99"/>
      <c r="R63" s="14"/>
      <c r="S63" s="99"/>
      <c r="T63" s="14"/>
      <c r="U63" s="23"/>
      <c r="V63" s="23"/>
      <c r="W63" s="117"/>
      <c r="X63" s="8"/>
      <c r="Y63" s="8"/>
    </row>
    <row r="64" spans="1:25" ht="14.25">
      <c r="A64" s="8"/>
      <c r="B64" s="8" t="s">
        <v>42</v>
      </c>
      <c r="C64" s="11"/>
      <c r="D64" s="8"/>
      <c r="E64" s="8"/>
      <c r="F64" s="99"/>
      <c r="G64" s="99"/>
      <c r="H64" s="99"/>
      <c r="I64" s="85"/>
      <c r="J64" s="12"/>
      <c r="K64" s="8"/>
      <c r="L64" s="13"/>
      <c r="M64" s="14"/>
      <c r="N64" s="8"/>
      <c r="O64" s="14"/>
      <c r="P64" s="12"/>
      <c r="Q64" s="99"/>
      <c r="R64" s="14"/>
      <c r="S64" s="99"/>
      <c r="T64" s="14"/>
      <c r="U64" s="23"/>
      <c r="V64" s="23"/>
      <c r="W64" s="117"/>
      <c r="X64" s="8"/>
      <c r="Y64" s="8"/>
    </row>
    <row r="65" spans="1:25" ht="14.25">
      <c r="A65" s="8"/>
      <c r="B65" s="8" t="s">
        <v>44</v>
      </c>
      <c r="C65" s="11" t="s">
        <v>74</v>
      </c>
      <c r="D65" s="8"/>
      <c r="E65" s="8"/>
      <c r="F65" s="180"/>
      <c r="G65" s="99"/>
      <c r="H65" s="99"/>
      <c r="I65" s="85"/>
      <c r="J65" s="12"/>
      <c r="K65" s="8"/>
      <c r="L65" s="13"/>
      <c r="M65" s="14"/>
      <c r="N65" s="8"/>
      <c r="O65" s="14"/>
      <c r="P65" s="12"/>
      <c r="Q65" s="99"/>
      <c r="R65" s="14"/>
      <c r="S65" s="99"/>
      <c r="T65" s="14"/>
      <c r="U65" s="23"/>
      <c r="V65" s="23"/>
      <c r="W65" s="117"/>
      <c r="X65" s="8"/>
      <c r="Y65" s="8"/>
    </row>
    <row r="66" spans="1:25" ht="16.5">
      <c r="A66" s="8"/>
      <c r="B66" s="8" t="s">
        <v>323</v>
      </c>
      <c r="C66" s="11" t="s">
        <v>97</v>
      </c>
      <c r="D66" s="11" t="s">
        <v>199</v>
      </c>
      <c r="E66" s="8">
        <f>3.64/10</f>
        <v>0.364</v>
      </c>
      <c r="F66" s="180">
        <f>SUM(($Z$8*1.08*1.0952*1.5*1.15)/Z9*E66)</f>
        <v>16.952710319999998</v>
      </c>
      <c r="G66" s="180">
        <f>SUM(($Z$8*1.08*1.0952*G12*1.15)/Z9*E66)</f>
        <v>1.6952710319999997</v>
      </c>
      <c r="H66" s="180"/>
      <c r="I66" s="239">
        <f>(F66+G66+H66)*$I$12</f>
        <v>6.377609622384</v>
      </c>
      <c r="J66" s="12"/>
      <c r="K66" s="8"/>
      <c r="L66" s="13"/>
      <c r="M66" s="14"/>
      <c r="N66" s="8"/>
      <c r="O66" s="24">
        <f>0.11/10*109.2</f>
        <v>1.2012</v>
      </c>
      <c r="P66" s="117">
        <f>3.37/10*22</f>
        <v>7.414000000000001</v>
      </c>
      <c r="Q66" s="114">
        <f>0.2/10*50</f>
        <v>1</v>
      </c>
      <c r="R66" s="24"/>
      <c r="S66" s="114"/>
      <c r="T66" s="24">
        <f>SUM(F66:S66)</f>
        <v>34.640790974384</v>
      </c>
      <c r="U66" s="23">
        <f>(F66+G66+H66)*$U$13</f>
        <v>2.8904371095599997</v>
      </c>
      <c r="V66" s="23">
        <f t="shared" si="0"/>
        <v>14.54542545456</v>
      </c>
      <c r="W66" s="117">
        <f>(T66+U66+V66)*$W$12</f>
        <v>7.811498030775598</v>
      </c>
      <c r="X66" s="23">
        <f>T66+U66+V66+W66</f>
        <v>59.888151569279586</v>
      </c>
      <c r="Y66" s="23">
        <f>X66*1.18</f>
        <v>70.6680188517499</v>
      </c>
    </row>
    <row r="67" spans="1:25" ht="16.5">
      <c r="A67" s="8">
        <v>23</v>
      </c>
      <c r="B67" s="8" t="s">
        <v>53</v>
      </c>
      <c r="C67" s="11" t="s">
        <v>98</v>
      </c>
      <c r="D67" s="11" t="s">
        <v>199</v>
      </c>
      <c r="E67" s="374">
        <f>2.009/10</f>
        <v>0.2009</v>
      </c>
      <c r="F67" s="180">
        <f>SUM(($Z$8*1.08*1.0952*1.5*1.15)/Z9*E67)</f>
        <v>9.356592041999999</v>
      </c>
      <c r="G67" s="180">
        <f>SUM(($Z$8*1.08*1.0952*G12*1.15)/Z9*E67)</f>
        <v>0.9356592041999998</v>
      </c>
      <c r="H67" s="180"/>
      <c r="I67" s="239">
        <f>(F67+G67+H67)*$I$12</f>
        <v>3.5199499262004</v>
      </c>
      <c r="J67" s="12"/>
      <c r="K67" s="23">
        <f>0.143/10*48.52</f>
        <v>0.693836</v>
      </c>
      <c r="L67" s="13"/>
      <c r="M67" s="14"/>
      <c r="N67" s="8"/>
      <c r="O67" s="14"/>
      <c r="P67" s="117">
        <f>5.1/10*22</f>
        <v>11.22</v>
      </c>
      <c r="Q67" s="99"/>
      <c r="R67" s="24">
        <f>0.24/10*94.35</f>
        <v>2.2643999999999997</v>
      </c>
      <c r="S67" s="114">
        <f>S62</f>
        <v>0.26549999999999996</v>
      </c>
      <c r="T67" s="24">
        <f>SUM(F67:S67)</f>
        <v>28.255937172400397</v>
      </c>
      <c r="U67" s="23">
        <f>(F67+G67+H67)*$U$13</f>
        <v>1.5952989431609998</v>
      </c>
      <c r="V67" s="23">
        <f t="shared" si="0"/>
        <v>8.027955972036</v>
      </c>
      <c r="W67" s="117">
        <f>(T67+U67+V67)*$W$12</f>
        <v>5.68187881313961</v>
      </c>
      <c r="X67" s="23">
        <f>T67+U67+V67+W67</f>
        <v>43.561070900737015</v>
      </c>
      <c r="Y67" s="23">
        <f>X67*1.18</f>
        <v>51.40206366286967</v>
      </c>
    </row>
    <row r="68" spans="1:25" ht="14.25">
      <c r="A68" s="8">
        <v>24</v>
      </c>
      <c r="B68" s="8" t="s">
        <v>41</v>
      </c>
      <c r="C68" s="11"/>
      <c r="D68" s="8"/>
      <c r="E68" s="8"/>
      <c r="F68" s="99"/>
      <c r="G68" s="99"/>
      <c r="H68" s="99"/>
      <c r="I68" s="85"/>
      <c r="J68" s="12"/>
      <c r="K68" s="8"/>
      <c r="L68" s="13"/>
      <c r="M68" s="14"/>
      <c r="N68" s="8"/>
      <c r="O68" s="14"/>
      <c r="P68" s="12"/>
      <c r="Q68" s="99"/>
      <c r="R68" s="14"/>
      <c r="S68" s="99"/>
      <c r="T68" s="14"/>
      <c r="U68" s="23"/>
      <c r="V68" s="23"/>
      <c r="W68" s="117"/>
      <c r="X68" s="8"/>
      <c r="Y68" s="8"/>
    </row>
    <row r="69" spans="1:25" ht="14.25">
      <c r="A69" s="8"/>
      <c r="B69" s="8" t="s">
        <v>48</v>
      </c>
      <c r="C69" s="11"/>
      <c r="D69" s="8"/>
      <c r="E69" s="8"/>
      <c r="F69" s="99"/>
      <c r="G69" s="99"/>
      <c r="H69" s="99"/>
      <c r="I69" s="85"/>
      <c r="J69" s="12"/>
      <c r="K69" s="8"/>
      <c r="L69" s="13"/>
      <c r="M69" s="14"/>
      <c r="N69" s="8"/>
      <c r="O69" s="14"/>
      <c r="P69" s="12"/>
      <c r="Q69" s="99"/>
      <c r="R69" s="14"/>
      <c r="S69" s="99"/>
      <c r="T69" s="14"/>
      <c r="U69" s="23"/>
      <c r="V69" s="23"/>
      <c r="W69" s="117"/>
      <c r="X69" s="8"/>
      <c r="Y69" s="8"/>
    </row>
    <row r="70" spans="1:25" ht="14.25">
      <c r="A70" s="8"/>
      <c r="B70" s="8" t="s">
        <v>49</v>
      </c>
      <c r="C70" s="11" t="s">
        <v>74</v>
      </c>
      <c r="D70" s="8"/>
      <c r="E70" s="8"/>
      <c r="F70" s="99"/>
      <c r="G70" s="99"/>
      <c r="H70" s="99"/>
      <c r="I70" s="85"/>
      <c r="J70" s="12"/>
      <c r="K70" s="8"/>
      <c r="L70" s="13"/>
      <c r="M70" s="14"/>
      <c r="N70" s="8"/>
      <c r="O70" s="14"/>
      <c r="P70" s="12"/>
      <c r="Q70" s="99"/>
      <c r="R70" s="14"/>
      <c r="S70" s="99"/>
      <c r="T70" s="14"/>
      <c r="U70" s="23"/>
      <c r="V70" s="23"/>
      <c r="W70" s="117"/>
      <c r="X70" s="8"/>
      <c r="Y70" s="8"/>
    </row>
    <row r="71" spans="1:25" ht="16.5">
      <c r="A71" s="8"/>
      <c r="B71" s="8" t="s">
        <v>324</v>
      </c>
      <c r="C71" s="11" t="s">
        <v>100</v>
      </c>
      <c r="D71" s="11" t="s">
        <v>199</v>
      </c>
      <c r="E71" s="374">
        <f>5.785/10</f>
        <v>0.5785</v>
      </c>
      <c r="F71" s="180">
        <f>SUM(($Z$8*1.08*1.0952*1.5*1.15)/Z9*E71)</f>
        <v>26.942700329999997</v>
      </c>
      <c r="G71" s="180">
        <f>SUM(($Z$8*1.08*1.0952*G12*1.15)/Z9*E71)</f>
        <v>2.6942700329999996</v>
      </c>
      <c r="H71" s="180"/>
      <c r="I71" s="239">
        <f>(F71+G71+H71)*$I$12</f>
        <v>10.135843864145999</v>
      </c>
      <c r="J71" s="12"/>
      <c r="K71" s="8"/>
      <c r="L71" s="13"/>
      <c r="M71" s="14"/>
      <c r="N71" s="8"/>
      <c r="O71" s="24">
        <f>0.11/10*109.2</f>
        <v>1.2012</v>
      </c>
      <c r="P71" s="117">
        <f>3.37/10*22</f>
        <v>7.414000000000001</v>
      </c>
      <c r="Q71" s="114">
        <f>0.2/10*50</f>
        <v>1</v>
      </c>
      <c r="R71" s="24"/>
      <c r="S71" s="114"/>
      <c r="T71" s="24">
        <f>SUM(F71:S71)</f>
        <v>49.388014227145995</v>
      </c>
      <c r="U71" s="23">
        <f>(F71+G71+H71)*$U$13</f>
        <v>4.593730406264999</v>
      </c>
      <c r="V71" s="23">
        <f t="shared" si="0"/>
        <v>23.11683688314</v>
      </c>
      <c r="W71" s="117">
        <f>(T71+U71+V71)*$W$12</f>
        <v>11.564787227482649</v>
      </c>
      <c r="X71" s="23">
        <f>T71+U71+V71+W71</f>
        <v>88.66336874403365</v>
      </c>
      <c r="Y71" s="23">
        <f>X71*1.18</f>
        <v>104.6227751179597</v>
      </c>
    </row>
    <row r="72" spans="1:25" ht="16.5">
      <c r="A72" s="8">
        <v>25</v>
      </c>
      <c r="B72" s="8" t="s">
        <v>53</v>
      </c>
      <c r="C72" s="11" t="s">
        <v>101</v>
      </c>
      <c r="D72" s="11" t="s">
        <v>199</v>
      </c>
      <c r="E72" s="374">
        <f>2.61/10</f>
        <v>0.261</v>
      </c>
      <c r="F72" s="180">
        <f>SUM(($Z$8*1.08*1.0952*1.5*1.15)/Z9*E72)</f>
        <v>12.155652179999999</v>
      </c>
      <c r="G72" s="180">
        <f>SUM(($Z$8*1.08*1.0952*G12*1.15)/Z9*E72)</f>
        <v>1.2155652179999998</v>
      </c>
      <c r="H72" s="180"/>
      <c r="I72" s="239">
        <f>(F72+G72+H72)*$I$12</f>
        <v>4.572956350116</v>
      </c>
      <c r="J72" s="12"/>
      <c r="K72" s="23">
        <f>0.143/10*48.52</f>
        <v>0.693836</v>
      </c>
      <c r="L72" s="13"/>
      <c r="M72" s="14"/>
      <c r="N72" s="8"/>
      <c r="O72" s="14"/>
      <c r="P72" s="117">
        <f>5.5/10*22</f>
        <v>12.100000000000001</v>
      </c>
      <c r="Q72" s="99"/>
      <c r="R72" s="24">
        <f>0.24/10*94.35</f>
        <v>2.2643999999999997</v>
      </c>
      <c r="S72" s="114">
        <f>S62</f>
        <v>0.26549999999999996</v>
      </c>
      <c r="T72" s="24">
        <f>SUM(F72:S72)</f>
        <v>33.267909748116004</v>
      </c>
      <c r="U72" s="23">
        <f>(F72+G72+H72)*$U$13</f>
        <v>2.0725386966899997</v>
      </c>
      <c r="V72" s="23">
        <f t="shared" si="0"/>
        <v>10.429549570439999</v>
      </c>
      <c r="W72" s="117">
        <f>(T72+U72+V72)*$W$12</f>
        <v>6.8654997022869</v>
      </c>
      <c r="X72" s="23">
        <f>T72+U72+V72+W72</f>
        <v>52.6354977175329</v>
      </c>
      <c r="Y72" s="23">
        <f>X72*1.18</f>
        <v>62.10988730668882</v>
      </c>
    </row>
    <row r="73" spans="1:25" ht="14.25">
      <c r="A73" s="8">
        <v>26</v>
      </c>
      <c r="B73" s="8" t="s">
        <v>41</v>
      </c>
      <c r="C73" s="11"/>
      <c r="D73" s="8"/>
      <c r="E73" s="8"/>
      <c r="F73" s="99"/>
      <c r="G73" s="99"/>
      <c r="H73" s="99"/>
      <c r="I73" s="85"/>
      <c r="J73" s="12"/>
      <c r="K73" s="8"/>
      <c r="L73" s="13"/>
      <c r="M73" s="14"/>
      <c r="N73" s="8"/>
      <c r="O73" s="14"/>
      <c r="P73" s="12"/>
      <c r="Q73" s="99"/>
      <c r="R73" s="14"/>
      <c r="S73" s="99"/>
      <c r="T73" s="14"/>
      <c r="U73" s="23"/>
      <c r="V73" s="23"/>
      <c r="W73" s="117"/>
      <c r="X73" s="8"/>
      <c r="Y73" s="8"/>
    </row>
    <row r="74" spans="1:25" ht="14.25">
      <c r="A74" s="8"/>
      <c r="B74" s="8" t="s">
        <v>48</v>
      </c>
      <c r="C74" s="11"/>
      <c r="D74" s="8"/>
      <c r="E74" s="8"/>
      <c r="F74" s="99"/>
      <c r="G74" s="99"/>
      <c r="H74" s="99"/>
      <c r="I74" s="85"/>
      <c r="J74" s="12"/>
      <c r="K74" s="8"/>
      <c r="L74" s="13"/>
      <c r="M74" s="14"/>
      <c r="N74" s="8"/>
      <c r="O74" s="14"/>
      <c r="P74" s="12"/>
      <c r="Q74" s="99"/>
      <c r="R74" s="14"/>
      <c r="S74" s="99"/>
      <c r="T74" s="14"/>
      <c r="U74" s="23"/>
      <c r="V74" s="23"/>
      <c r="W74" s="117"/>
      <c r="X74" s="8"/>
      <c r="Y74" s="8"/>
    </row>
    <row r="75" spans="1:25" ht="14.25">
      <c r="A75" s="8"/>
      <c r="B75" s="8" t="s">
        <v>49</v>
      </c>
      <c r="C75" s="11" t="s">
        <v>74</v>
      </c>
      <c r="D75" s="8"/>
      <c r="E75" s="8"/>
      <c r="F75" s="99"/>
      <c r="G75" s="99"/>
      <c r="H75" s="99"/>
      <c r="I75" s="85"/>
      <c r="J75" s="12"/>
      <c r="K75" s="8"/>
      <c r="L75" s="13"/>
      <c r="M75" s="14"/>
      <c r="N75" s="8"/>
      <c r="O75" s="14"/>
      <c r="P75" s="12"/>
      <c r="Q75" s="99"/>
      <c r="R75" s="14"/>
      <c r="S75" s="99"/>
      <c r="T75" s="14"/>
      <c r="U75" s="23"/>
      <c r="V75" s="23"/>
      <c r="W75" s="117"/>
      <c r="X75" s="8"/>
      <c r="Y75" s="8"/>
    </row>
    <row r="76" spans="1:25" ht="16.5">
      <c r="A76" s="8"/>
      <c r="B76" s="8" t="s">
        <v>102</v>
      </c>
      <c r="C76" s="11" t="s">
        <v>103</v>
      </c>
      <c r="D76" s="11" t="s">
        <v>199</v>
      </c>
      <c r="E76" s="374">
        <f>6.675/10</f>
        <v>0.6675</v>
      </c>
      <c r="F76" s="180">
        <f>SUM(($Z$8*1.08*1.0952*1.5*1.15)/Z9*E76)</f>
        <v>31.087731149999996</v>
      </c>
      <c r="G76" s="180">
        <f>SUM(($Z$8*1.08*1.0952*G12*1.15)/Z9*E76)</f>
        <v>3.1087731149999995</v>
      </c>
      <c r="H76" s="180"/>
      <c r="I76" s="239">
        <f>(F76+G76+H76)*$I$12</f>
        <v>11.695204458629998</v>
      </c>
      <c r="J76" s="12"/>
      <c r="K76" s="8"/>
      <c r="L76" s="13"/>
      <c r="M76" s="14"/>
      <c r="N76" s="8"/>
      <c r="O76" s="24">
        <f>0.11/10*109.2</f>
        <v>1.2012</v>
      </c>
      <c r="P76" s="117">
        <f>3.77/10*22</f>
        <v>8.294</v>
      </c>
      <c r="Q76" s="114">
        <f>0.2/10*50</f>
        <v>1</v>
      </c>
      <c r="R76" s="24"/>
      <c r="S76" s="114"/>
      <c r="T76" s="24">
        <f>SUM(F76:S76)</f>
        <v>56.386908723629986</v>
      </c>
      <c r="U76" s="23">
        <f>(F76+G76+H76)*$U$13</f>
        <v>5.3004581610749995</v>
      </c>
      <c r="V76" s="23">
        <f t="shared" si="0"/>
        <v>26.673273326699995</v>
      </c>
      <c r="W76" s="117">
        <f>(T76+U76+V76)*$W$12</f>
        <v>13.254096031710747</v>
      </c>
      <c r="X76" s="23">
        <f>T76+U76+V76+W76</f>
        <v>101.61473624311573</v>
      </c>
      <c r="Y76" s="23">
        <f>X76*1.18</f>
        <v>119.90538876687656</v>
      </c>
    </row>
    <row r="77" spans="1:25" ht="16.5">
      <c r="A77" s="8">
        <v>27</v>
      </c>
      <c r="B77" s="8" t="s">
        <v>53</v>
      </c>
      <c r="C77" s="11" t="s">
        <v>104</v>
      </c>
      <c r="D77" s="11" t="s">
        <v>199</v>
      </c>
      <c r="E77" s="374">
        <f>3.091/10</f>
        <v>0.30910000000000004</v>
      </c>
      <c r="F77" s="180">
        <f>SUM(($Z$8*1.08*1.0952*1.5*1.15)/Z9*E77)</f>
        <v>14.395831758</v>
      </c>
      <c r="G77" s="180">
        <f>SUM(($Z$8*1.08*1.0952*G12*1.15)/Z9*E77)</f>
        <v>1.4395831758</v>
      </c>
      <c r="H77" s="180"/>
      <c r="I77" s="239">
        <f>(F77+G77+H77)*$I$12</f>
        <v>5.4157119073596</v>
      </c>
      <c r="J77" s="12"/>
      <c r="K77" s="23">
        <f>0.143/10*48.52</f>
        <v>0.693836</v>
      </c>
      <c r="L77" s="13"/>
      <c r="M77" s="14"/>
      <c r="N77" s="8"/>
      <c r="O77" s="14"/>
      <c r="P77" s="117">
        <f>5.5/10*22</f>
        <v>12.100000000000001</v>
      </c>
      <c r="Q77" s="99"/>
      <c r="R77" s="24">
        <f>0.24/10*94.35</f>
        <v>2.2643999999999997</v>
      </c>
      <c r="S77" s="114">
        <f>S62</f>
        <v>0.26549999999999996</v>
      </c>
      <c r="T77" s="24">
        <f>SUM(F77:S77)</f>
        <v>36.57486284115961</v>
      </c>
      <c r="U77" s="23">
        <f>(F77+G77+H77)*$U$13</f>
        <v>2.454489314739</v>
      </c>
      <c r="V77" s="23">
        <f t="shared" si="0"/>
        <v>12.351623648363999</v>
      </c>
      <c r="W77" s="117">
        <f>(T77+U77+V77)*$W$12</f>
        <v>7.70714637063939</v>
      </c>
      <c r="X77" s="23">
        <f>T77+U77+V77+W77</f>
        <v>59.088122174902</v>
      </c>
      <c r="Y77" s="23">
        <f>X77*1.18</f>
        <v>69.72398416638435</v>
      </c>
    </row>
    <row r="78" spans="1:25" ht="14.25">
      <c r="A78" s="8">
        <v>28</v>
      </c>
      <c r="B78" s="8" t="s">
        <v>41</v>
      </c>
      <c r="C78" s="11"/>
      <c r="D78" s="11"/>
      <c r="E78" s="374"/>
      <c r="F78" s="99"/>
      <c r="G78" s="99"/>
      <c r="H78" s="99"/>
      <c r="I78" s="85"/>
      <c r="J78" s="12"/>
      <c r="K78" s="8"/>
      <c r="L78" s="13"/>
      <c r="M78" s="14"/>
      <c r="N78" s="8"/>
      <c r="O78" s="14"/>
      <c r="P78" s="12"/>
      <c r="Q78" s="99"/>
      <c r="R78" s="14"/>
      <c r="S78" s="99"/>
      <c r="T78" s="14"/>
      <c r="U78" s="23"/>
      <c r="V78" s="23"/>
      <c r="W78" s="117"/>
      <c r="X78" s="8"/>
      <c r="Y78" s="8"/>
    </row>
    <row r="79" spans="1:25" ht="14.25">
      <c r="A79" s="8"/>
      <c r="B79" s="8" t="s">
        <v>50</v>
      </c>
      <c r="C79" s="11" t="s">
        <v>74</v>
      </c>
      <c r="D79" s="11"/>
      <c r="E79" s="374"/>
      <c r="F79" s="99"/>
      <c r="G79" s="99"/>
      <c r="H79" s="99"/>
      <c r="I79" s="85"/>
      <c r="J79" s="12"/>
      <c r="K79" s="8"/>
      <c r="L79" s="13"/>
      <c r="M79" s="14"/>
      <c r="N79" s="8"/>
      <c r="O79" s="14"/>
      <c r="P79" s="12"/>
      <c r="Q79" s="99"/>
      <c r="R79" s="14"/>
      <c r="S79" s="99"/>
      <c r="T79" s="14"/>
      <c r="U79" s="23"/>
      <c r="V79" s="23"/>
      <c r="W79" s="117"/>
      <c r="X79" s="8"/>
      <c r="Y79" s="8"/>
    </row>
    <row r="80" spans="1:25" ht="16.5">
      <c r="A80" s="8"/>
      <c r="B80" s="8" t="s">
        <v>43</v>
      </c>
      <c r="C80" s="11" t="s">
        <v>105</v>
      </c>
      <c r="D80" s="11" t="s">
        <v>199</v>
      </c>
      <c r="E80" s="374">
        <f>8.45/10</f>
        <v>0.845</v>
      </c>
      <c r="F80" s="180">
        <f>SUM(($Z$8*1.08*1.0952*1.5*1.15)/Z9*E80)</f>
        <v>39.354506099999995</v>
      </c>
      <c r="G80" s="180">
        <f>SUM(($Z$8*1.08*1.0952*G12*1.15)/Z9*E80)</f>
        <v>3.9354506099999993</v>
      </c>
      <c r="H80" s="180"/>
      <c r="I80" s="239">
        <f>(F80+G80+H80)*$I$12</f>
        <v>14.805165194819999</v>
      </c>
      <c r="J80" s="12"/>
      <c r="K80" s="8"/>
      <c r="L80" s="13"/>
      <c r="M80" s="14"/>
      <c r="N80" s="8"/>
      <c r="O80" s="24">
        <f>0.11/10*109.2</f>
        <v>1.2012</v>
      </c>
      <c r="P80" s="117">
        <f>3.27/10*22</f>
        <v>7.194</v>
      </c>
      <c r="Q80" s="114">
        <f>0.16/10*50</f>
        <v>0.8</v>
      </c>
      <c r="R80" s="24"/>
      <c r="S80" s="114"/>
      <c r="T80" s="24">
        <f>SUM(F80:S80)</f>
        <v>67.29032190481999</v>
      </c>
      <c r="U80" s="23">
        <f>(F80+G80+H80)*$U$13</f>
        <v>6.709943290049998</v>
      </c>
      <c r="V80" s="23">
        <f t="shared" si="0"/>
        <v>33.76616623379999</v>
      </c>
      <c r="W80" s="117">
        <f>(T80+U80+V80)*$W$12</f>
        <v>16.164964714300496</v>
      </c>
      <c r="X80" s="23">
        <f>T80+U80+V80+W80</f>
        <v>123.93139614297047</v>
      </c>
      <c r="Y80" s="23">
        <f>X80*1.18</f>
        <v>146.23904744870515</v>
      </c>
    </row>
    <row r="81" spans="1:25" ht="14.25">
      <c r="A81" s="8">
        <v>29</v>
      </c>
      <c r="B81" s="8" t="s">
        <v>41</v>
      </c>
      <c r="C81" s="11"/>
      <c r="D81" s="11"/>
      <c r="E81" s="374"/>
      <c r="F81" s="99"/>
      <c r="G81" s="99"/>
      <c r="H81" s="99"/>
      <c r="I81" s="239"/>
      <c r="J81" s="12"/>
      <c r="K81" s="8"/>
      <c r="L81" s="13"/>
      <c r="M81" s="14"/>
      <c r="N81" s="8"/>
      <c r="O81" s="14"/>
      <c r="P81" s="12"/>
      <c r="Q81" s="99"/>
      <c r="R81" s="14"/>
      <c r="S81" s="99"/>
      <c r="T81" s="14"/>
      <c r="U81" s="23"/>
      <c r="V81" s="23"/>
      <c r="W81" s="117"/>
      <c r="X81" s="8"/>
      <c r="Y81" s="8"/>
    </row>
    <row r="82" spans="1:25" ht="14.25">
      <c r="A82" s="8"/>
      <c r="B82" s="8" t="s">
        <v>51</v>
      </c>
      <c r="C82" s="11" t="s">
        <v>74</v>
      </c>
      <c r="D82" s="11"/>
      <c r="E82" s="374"/>
      <c r="F82" s="99"/>
      <c r="G82" s="99"/>
      <c r="H82" s="99"/>
      <c r="I82" s="85"/>
      <c r="J82" s="12"/>
      <c r="K82" s="8"/>
      <c r="L82" s="13"/>
      <c r="M82" s="14"/>
      <c r="N82" s="8"/>
      <c r="O82" s="14"/>
      <c r="P82" s="12"/>
      <c r="Q82" s="99"/>
      <c r="R82" s="14"/>
      <c r="S82" s="99"/>
      <c r="T82" s="14"/>
      <c r="U82" s="23"/>
      <c r="V82" s="23"/>
      <c r="W82" s="117"/>
      <c r="X82" s="8"/>
      <c r="Y82" s="8"/>
    </row>
    <row r="83" spans="1:25" ht="16.5">
      <c r="A83" s="8"/>
      <c r="B83" s="8" t="s">
        <v>106</v>
      </c>
      <c r="C83" s="11" t="s">
        <v>110</v>
      </c>
      <c r="D83" s="11" t="s">
        <v>199</v>
      </c>
      <c r="E83" s="374">
        <f>5.759/10</f>
        <v>0.5759000000000001</v>
      </c>
      <c r="F83" s="180">
        <f>SUM(($Z$8*1.08*1.0952*1.5*1.15)/Z9*E83)</f>
        <v>26.821609542</v>
      </c>
      <c r="G83" s="180">
        <f>SUM(($Z$8*1.08*1.0952*G12*1.15)/Z9*E83)</f>
        <v>2.6821609542</v>
      </c>
      <c r="H83" s="180"/>
      <c r="I83" s="239">
        <f>(F83+G83+H83)*$I$12</f>
        <v>10.090289509700401</v>
      </c>
      <c r="J83" s="12"/>
      <c r="K83" s="8"/>
      <c r="L83" s="13"/>
      <c r="M83" s="14"/>
      <c r="N83" s="8"/>
      <c r="O83" s="24">
        <f>0.11/10*109.2</f>
        <v>1.2012</v>
      </c>
      <c r="P83" s="117">
        <f>3.32/10*10</f>
        <v>3.3199999999999994</v>
      </c>
      <c r="Q83" s="114">
        <f>0.18/10*50</f>
        <v>0.8999999999999999</v>
      </c>
      <c r="R83" s="24"/>
      <c r="S83" s="114"/>
      <c r="T83" s="24">
        <f>SUM(F83:S83)</f>
        <v>45.0152600059004</v>
      </c>
      <c r="U83" s="23">
        <f aca="true" t="shared" si="1" ref="U83:U106">(F83+G83+H83)*$U$13</f>
        <v>4.5730844269110005</v>
      </c>
      <c r="V83" s="23">
        <f t="shared" si="0"/>
        <v>23.012940987036004</v>
      </c>
      <c r="W83" s="117">
        <f aca="true" t="shared" si="2" ref="W83:W106">(T83+U83+V83)*$W$12</f>
        <v>10.890192812977112</v>
      </c>
      <c r="X83" s="23">
        <f>T83+U83+V83+W83</f>
        <v>83.49147823282453</v>
      </c>
      <c r="Y83" s="23">
        <f>X83*1.18</f>
        <v>98.51994431473294</v>
      </c>
    </row>
    <row r="84" spans="1:25" ht="14.25">
      <c r="A84" s="8">
        <v>30</v>
      </c>
      <c r="B84" s="8" t="s">
        <v>41</v>
      </c>
      <c r="C84" s="11"/>
      <c r="D84" s="11"/>
      <c r="E84" s="374"/>
      <c r="F84" s="99"/>
      <c r="G84" s="99"/>
      <c r="H84" s="99"/>
      <c r="I84" s="239"/>
      <c r="J84" s="12"/>
      <c r="K84" s="8"/>
      <c r="L84" s="13"/>
      <c r="M84" s="14"/>
      <c r="N84" s="8"/>
      <c r="O84" s="14"/>
      <c r="P84" s="12"/>
      <c r="Q84" s="99"/>
      <c r="R84" s="14"/>
      <c r="S84" s="99"/>
      <c r="T84" s="14"/>
      <c r="U84" s="23"/>
      <c r="V84" s="23"/>
      <c r="W84" s="117"/>
      <c r="X84" s="8"/>
      <c r="Y84" s="8"/>
    </row>
    <row r="85" spans="1:25" ht="14.25">
      <c r="A85" s="8"/>
      <c r="B85" s="8" t="s">
        <v>51</v>
      </c>
      <c r="C85" s="11" t="s">
        <v>74</v>
      </c>
      <c r="D85" s="11"/>
      <c r="E85" s="374"/>
      <c r="F85" s="99"/>
      <c r="G85" s="99"/>
      <c r="H85" s="99"/>
      <c r="I85" s="85"/>
      <c r="J85" s="12"/>
      <c r="K85" s="8"/>
      <c r="L85" s="13"/>
      <c r="M85" s="14"/>
      <c r="N85" s="8"/>
      <c r="O85" s="14"/>
      <c r="P85" s="12"/>
      <c r="Q85" s="99"/>
      <c r="R85" s="14"/>
      <c r="S85" s="99"/>
      <c r="T85" s="14"/>
      <c r="U85" s="23"/>
      <c r="V85" s="23"/>
      <c r="W85" s="117"/>
      <c r="X85" s="8"/>
      <c r="Y85" s="8"/>
    </row>
    <row r="86" spans="1:25" ht="16.5">
      <c r="A86" s="8"/>
      <c r="B86" s="8" t="s">
        <v>108</v>
      </c>
      <c r="C86" s="11" t="s">
        <v>109</v>
      </c>
      <c r="D86" s="11" t="s">
        <v>199</v>
      </c>
      <c r="E86" s="374">
        <f>10.4/10</f>
        <v>1.04</v>
      </c>
      <c r="F86" s="180">
        <f>SUM(($Z$8*1.08*1.0952*1.5*1.15)/Z9*E86)</f>
        <v>48.436315199999996</v>
      </c>
      <c r="G86" s="180">
        <f>SUM(($Z$8*1.08*1.0952*G12*1.15)/Z9*E86)</f>
        <v>4.84363152</v>
      </c>
      <c r="H86" s="180"/>
      <c r="I86" s="239">
        <f>(F86+G86+H86)*$I$12</f>
        <v>18.221741778240002</v>
      </c>
      <c r="J86" s="12"/>
      <c r="K86" s="8"/>
      <c r="L86" s="13"/>
      <c r="M86" s="14"/>
      <c r="N86" s="8"/>
      <c r="O86" s="24">
        <f>0.11/10*109.2</f>
        <v>1.2012</v>
      </c>
      <c r="P86" s="117">
        <f>4.73/10*22</f>
        <v>10.406</v>
      </c>
      <c r="Q86" s="114">
        <f>0.97/10*50</f>
        <v>4.8500000000000005</v>
      </c>
      <c r="R86" s="24"/>
      <c r="S86" s="114"/>
      <c r="T86" s="24">
        <f>SUM(F86:S86)</f>
        <v>87.95888849824</v>
      </c>
      <c r="U86" s="23">
        <f t="shared" si="1"/>
        <v>8.258391741599999</v>
      </c>
      <c r="V86" s="23">
        <f t="shared" si="0"/>
        <v>41.5583584416</v>
      </c>
      <c r="W86" s="117">
        <f t="shared" si="2"/>
        <v>20.666345802216</v>
      </c>
      <c r="X86" s="23">
        <f>T86+U86+V86+W86</f>
        <v>158.441984483656</v>
      </c>
      <c r="Y86" s="23">
        <f>X86*1.18</f>
        <v>186.96154169071406</v>
      </c>
    </row>
    <row r="87" spans="1:25" ht="14.25">
      <c r="A87" s="8">
        <v>31</v>
      </c>
      <c r="B87" s="8" t="s">
        <v>41</v>
      </c>
      <c r="C87" s="11"/>
      <c r="D87" s="11"/>
      <c r="E87" s="374"/>
      <c r="F87" s="99"/>
      <c r="G87" s="99"/>
      <c r="H87" s="99"/>
      <c r="I87" s="85"/>
      <c r="J87" s="12"/>
      <c r="K87" s="8"/>
      <c r="L87" s="13"/>
      <c r="M87" s="14"/>
      <c r="N87" s="8"/>
      <c r="O87" s="14"/>
      <c r="P87" s="12"/>
      <c r="Q87" s="99"/>
      <c r="R87" s="14"/>
      <c r="S87" s="99"/>
      <c r="T87" s="14"/>
      <c r="U87" s="23"/>
      <c r="V87" s="23"/>
      <c r="W87" s="117"/>
      <c r="X87" s="23"/>
      <c r="Y87" s="8"/>
    </row>
    <row r="88" spans="1:25" ht="14.25">
      <c r="A88" s="8"/>
      <c r="B88" s="8" t="s">
        <v>52</v>
      </c>
      <c r="C88" s="11"/>
      <c r="D88" s="11"/>
      <c r="E88" s="374"/>
      <c r="F88" s="99"/>
      <c r="G88" s="99"/>
      <c r="H88" s="99"/>
      <c r="I88" s="85"/>
      <c r="J88" s="12"/>
      <c r="K88" s="8"/>
      <c r="L88" s="13"/>
      <c r="M88" s="14"/>
      <c r="N88" s="8"/>
      <c r="O88" s="14"/>
      <c r="P88" s="12"/>
      <c r="Q88" s="99"/>
      <c r="R88" s="14"/>
      <c r="S88" s="99"/>
      <c r="T88" s="14"/>
      <c r="U88" s="23"/>
      <c r="V88" s="23"/>
      <c r="W88" s="117"/>
      <c r="X88" s="8"/>
      <c r="Y88" s="8"/>
    </row>
    <row r="89" spans="1:25" ht="14.25">
      <c r="A89" s="8"/>
      <c r="B89" s="8" t="s">
        <v>49</v>
      </c>
      <c r="C89" s="11" t="s">
        <v>74</v>
      </c>
      <c r="D89" s="8"/>
      <c r="E89" s="8"/>
      <c r="F89" s="99"/>
      <c r="G89" s="99"/>
      <c r="H89" s="99"/>
      <c r="I89" s="85"/>
      <c r="J89" s="12"/>
      <c r="K89" s="8"/>
      <c r="L89" s="13"/>
      <c r="M89" s="14"/>
      <c r="N89" s="8"/>
      <c r="O89" s="14"/>
      <c r="P89" s="12"/>
      <c r="Q89" s="99"/>
      <c r="R89" s="14"/>
      <c r="S89" s="99"/>
      <c r="T89" s="14"/>
      <c r="U89" s="23"/>
      <c r="V89" s="23"/>
      <c r="W89" s="117"/>
      <c r="X89" s="8"/>
      <c r="Y89" s="8"/>
    </row>
    <row r="90" spans="1:25" ht="16.5">
      <c r="A90" s="8"/>
      <c r="B90" s="8" t="s">
        <v>99</v>
      </c>
      <c r="C90" s="11" t="s">
        <v>107</v>
      </c>
      <c r="D90" s="11" t="s">
        <v>199</v>
      </c>
      <c r="E90" s="374">
        <f>2.782/10</f>
        <v>0.2782</v>
      </c>
      <c r="F90" s="180">
        <f>SUM(($Z$8*1.08*1.0952*1.5*1.15)/Z9*E90)</f>
        <v>12.956714315999998</v>
      </c>
      <c r="G90" s="180">
        <f>SUM(($Z$8*1.08*1.0952*G12*1.15)/Z9*E90)</f>
        <v>1.2956714315999998</v>
      </c>
      <c r="H90" s="180"/>
      <c r="I90" s="239">
        <f>(F90+G90+H90)*$I$12</f>
        <v>4.8743159256792</v>
      </c>
      <c r="J90" s="12"/>
      <c r="K90" s="8"/>
      <c r="L90" s="13"/>
      <c r="M90" s="14"/>
      <c r="N90" s="8"/>
      <c r="O90" s="24">
        <f>0.11/10*109.2</f>
        <v>1.2012</v>
      </c>
      <c r="P90" s="117">
        <f>3.38/10*22</f>
        <v>7.435999999999999</v>
      </c>
      <c r="Q90" s="114">
        <f>0.24/10*50</f>
        <v>1.2</v>
      </c>
      <c r="R90" s="24"/>
      <c r="S90" s="114"/>
      <c r="T90" s="24">
        <f>SUM(F90:S90)</f>
        <v>28.9639016732792</v>
      </c>
      <c r="U90" s="23">
        <f t="shared" si="1"/>
        <v>2.209119790878</v>
      </c>
      <c r="V90" s="23">
        <f t="shared" si="0"/>
        <v>11.116860883127998</v>
      </c>
      <c r="W90" s="117">
        <f t="shared" si="2"/>
        <v>6.34348235209278</v>
      </c>
      <c r="X90" s="23">
        <f>T90+U90+V90+W90</f>
        <v>48.63336469937798</v>
      </c>
      <c r="Y90" s="23">
        <f>X90*1.18</f>
        <v>57.387370345266014</v>
      </c>
    </row>
    <row r="91" spans="1:25" ht="14.25">
      <c r="A91" s="8">
        <v>32</v>
      </c>
      <c r="B91" s="8" t="s">
        <v>41</v>
      </c>
      <c r="C91" s="11"/>
      <c r="D91" s="8"/>
      <c r="E91" s="8"/>
      <c r="F91" s="99"/>
      <c r="G91" s="99"/>
      <c r="H91" s="99"/>
      <c r="I91" s="85"/>
      <c r="J91" s="12"/>
      <c r="K91" s="8"/>
      <c r="L91" s="13"/>
      <c r="M91" s="14"/>
      <c r="N91" s="8"/>
      <c r="O91" s="14"/>
      <c r="P91" s="12"/>
      <c r="Q91" s="99"/>
      <c r="R91" s="14"/>
      <c r="S91" s="99"/>
      <c r="T91" s="14"/>
      <c r="U91" s="23"/>
      <c r="V91" s="23"/>
      <c r="W91" s="117"/>
      <c r="X91" s="8"/>
      <c r="Y91" s="8"/>
    </row>
    <row r="92" spans="1:25" ht="14.25">
      <c r="A92" s="8"/>
      <c r="B92" s="8" t="s">
        <v>52</v>
      </c>
      <c r="C92" s="11"/>
      <c r="D92" s="8"/>
      <c r="E92" s="8"/>
      <c r="F92" s="99"/>
      <c r="G92" s="99"/>
      <c r="H92" s="99"/>
      <c r="I92" s="85"/>
      <c r="J92" s="12"/>
      <c r="K92" s="8"/>
      <c r="L92" s="13"/>
      <c r="M92" s="14"/>
      <c r="N92" s="8"/>
      <c r="O92" s="14"/>
      <c r="P92" s="12"/>
      <c r="Q92" s="99"/>
      <c r="R92" s="14"/>
      <c r="S92" s="99"/>
      <c r="T92" s="14"/>
      <c r="U92" s="23"/>
      <c r="V92" s="23"/>
      <c r="W92" s="117"/>
      <c r="X92" s="8"/>
      <c r="Y92" s="8"/>
    </row>
    <row r="93" spans="1:25" ht="14.25">
      <c r="A93" s="8"/>
      <c r="B93" s="8" t="s">
        <v>49</v>
      </c>
      <c r="C93" s="11" t="s">
        <v>74</v>
      </c>
      <c r="D93" s="8"/>
      <c r="E93" s="8"/>
      <c r="F93" s="99"/>
      <c r="G93" s="99"/>
      <c r="H93" s="99"/>
      <c r="I93" s="85"/>
      <c r="J93" s="12"/>
      <c r="K93" s="8"/>
      <c r="L93" s="13"/>
      <c r="M93" s="14"/>
      <c r="N93" s="8"/>
      <c r="O93" s="14"/>
      <c r="P93" s="12"/>
      <c r="Q93" s="99"/>
      <c r="R93" s="14"/>
      <c r="S93" s="99"/>
      <c r="T93" s="14"/>
      <c r="U93" s="23"/>
      <c r="V93" s="23"/>
      <c r="W93" s="117"/>
      <c r="X93" s="8"/>
      <c r="Y93" s="8"/>
    </row>
    <row r="94" spans="1:25" ht="16.5">
      <c r="A94" s="8"/>
      <c r="B94" s="8" t="s">
        <v>102</v>
      </c>
      <c r="C94" s="11" t="s">
        <v>111</v>
      </c>
      <c r="D94" s="11" t="s">
        <v>199</v>
      </c>
      <c r="E94" s="374">
        <f>3.202/10</f>
        <v>0.3202</v>
      </c>
      <c r="F94" s="180">
        <f>SUM(($Z$8*1.08*1.0952*1.5*1.15)/Z9*E94)</f>
        <v>14.912796275999996</v>
      </c>
      <c r="G94" s="180">
        <f>SUM(($Z$8*1.08*1.0952*G12*1.15)/Z9*E94)</f>
        <v>1.4912796275999998</v>
      </c>
      <c r="H94" s="180"/>
      <c r="I94" s="239">
        <f>(F94+G94+H94)*$I$12</f>
        <v>5.610193959031199</v>
      </c>
      <c r="J94" s="12"/>
      <c r="K94" s="8"/>
      <c r="L94" s="13"/>
      <c r="M94" s="14"/>
      <c r="N94" s="8"/>
      <c r="O94" s="24">
        <f>0.11/10*109.2</f>
        <v>1.2012</v>
      </c>
      <c r="P94" s="117">
        <f>3.38/10*22</f>
        <v>7.435999999999999</v>
      </c>
      <c r="Q94" s="114">
        <f>0.24/10*50</f>
        <v>1.2</v>
      </c>
      <c r="R94" s="24"/>
      <c r="S94" s="114"/>
      <c r="T94" s="24">
        <f>SUM(F94:S94)</f>
        <v>31.851469862631195</v>
      </c>
      <c r="U94" s="23">
        <f t="shared" si="1"/>
        <v>2.5426317650579993</v>
      </c>
      <c r="V94" s="23">
        <f t="shared" si="0"/>
        <v>12.795179204807997</v>
      </c>
      <c r="W94" s="117">
        <f t="shared" si="2"/>
        <v>7.078392124874578</v>
      </c>
      <c r="X94" s="23">
        <f>T94+U94+V94+W94</f>
        <v>54.267672957371765</v>
      </c>
      <c r="Y94" s="23">
        <f>X94*1.18</f>
        <v>64.03585408969867</v>
      </c>
    </row>
    <row r="95" spans="1:25" ht="14.25">
      <c r="A95" s="8">
        <v>33</v>
      </c>
      <c r="B95" s="8" t="s">
        <v>59</v>
      </c>
      <c r="C95" s="11" t="s">
        <v>74</v>
      </c>
      <c r="D95" s="8"/>
      <c r="E95" s="8"/>
      <c r="F95" s="99"/>
      <c r="G95" s="99"/>
      <c r="H95" s="99"/>
      <c r="I95" s="85"/>
      <c r="J95" s="12"/>
      <c r="K95" s="8"/>
      <c r="L95" s="13"/>
      <c r="M95" s="14"/>
      <c r="N95" s="8"/>
      <c r="O95" s="14"/>
      <c r="P95" s="12"/>
      <c r="Q95" s="99"/>
      <c r="R95" s="14"/>
      <c r="S95" s="99"/>
      <c r="T95" s="14"/>
      <c r="U95" s="23"/>
      <c r="V95" s="23"/>
      <c r="W95" s="117"/>
      <c r="X95" s="8"/>
      <c r="Y95" s="8"/>
    </row>
    <row r="96" spans="1:25" ht="16.5">
      <c r="A96" s="8"/>
      <c r="B96" s="8" t="s">
        <v>325</v>
      </c>
      <c r="C96" s="11" t="s">
        <v>112</v>
      </c>
      <c r="D96" s="11" t="s">
        <v>199</v>
      </c>
      <c r="E96" s="374">
        <f>5.262/10</f>
        <v>0.5262</v>
      </c>
      <c r="F96" s="180">
        <f>SUM(($Z$8*1.08*1.09*1.5*1.15)/Z9*E96)</f>
        <v>24.39055395</v>
      </c>
      <c r="G96" s="180">
        <f>SUM(($Z$8*1.08*1.09*G12*1.15)/Z9*E96)</f>
        <v>2.4390553950000005</v>
      </c>
      <c r="H96" s="180"/>
      <c r="I96" s="239">
        <f>(F96+G96+H96)*$I$12</f>
        <v>9.17572639599</v>
      </c>
      <c r="J96" s="12"/>
      <c r="K96" s="8"/>
      <c r="L96" s="13"/>
      <c r="M96" s="14"/>
      <c r="N96" s="8"/>
      <c r="O96" s="14"/>
      <c r="P96" s="12"/>
      <c r="Q96" s="99"/>
      <c r="R96" s="14"/>
      <c r="S96" s="99"/>
      <c r="T96" s="24">
        <f>SUM(F96:S96)</f>
        <v>36.005335740990006</v>
      </c>
      <c r="U96" s="23">
        <f t="shared" si="1"/>
        <v>4.158589448475</v>
      </c>
      <c r="V96" s="23">
        <f t="shared" si="0"/>
        <v>20.927095289100002</v>
      </c>
      <c r="W96" s="117">
        <f t="shared" si="2"/>
        <v>9.16365307178475</v>
      </c>
      <c r="X96" s="23">
        <f>T96+U96+V96+W96</f>
        <v>70.25467355034976</v>
      </c>
      <c r="Y96" s="23">
        <f>X96*1.18</f>
        <v>82.90051478941271</v>
      </c>
    </row>
    <row r="97" spans="1:25" ht="14.25">
      <c r="A97" s="8">
        <v>34</v>
      </c>
      <c r="B97" s="8" t="s">
        <v>59</v>
      </c>
      <c r="C97" s="11" t="s">
        <v>74</v>
      </c>
      <c r="D97" s="8"/>
      <c r="E97" s="8"/>
      <c r="F97" s="99"/>
      <c r="G97" s="99"/>
      <c r="H97" s="99"/>
      <c r="I97" s="85"/>
      <c r="J97" s="12"/>
      <c r="K97" s="8"/>
      <c r="L97" s="13"/>
      <c r="M97" s="14"/>
      <c r="N97" s="8"/>
      <c r="O97" s="14"/>
      <c r="P97" s="12"/>
      <c r="Q97" s="99"/>
      <c r="R97" s="14"/>
      <c r="S97" s="99"/>
      <c r="T97" s="14"/>
      <c r="U97" s="23"/>
      <c r="V97" s="23"/>
      <c r="W97" s="117"/>
      <c r="X97" s="8"/>
      <c r="Y97" s="8"/>
    </row>
    <row r="98" spans="1:25" ht="16.5">
      <c r="A98" s="8"/>
      <c r="B98" s="8" t="s">
        <v>326</v>
      </c>
      <c r="C98" s="11" t="s">
        <v>113</v>
      </c>
      <c r="D98" s="11" t="s">
        <v>199</v>
      </c>
      <c r="E98" s="374">
        <f>(5.262+1.04)/10</f>
        <v>0.6302</v>
      </c>
      <c r="F98" s="180">
        <f>SUM(($Z$8*1.08*1.09*1.5*1.15)/Z9*E98)</f>
        <v>29.211187950000003</v>
      </c>
      <c r="G98" s="180">
        <f>SUM(($Z$8*1.08*1.09*G12*1.15)/Z9*E98)</f>
        <v>2.9211187950000004</v>
      </c>
      <c r="H98" s="180"/>
      <c r="I98" s="239">
        <f aca="true" t="shared" si="3" ref="I98:I107">(F98+G98+H98)*$I$12</f>
        <v>10.989248906790001</v>
      </c>
      <c r="J98" s="12"/>
      <c r="K98" s="8"/>
      <c r="L98" s="13"/>
      <c r="M98" s="14"/>
      <c r="N98" s="8"/>
      <c r="O98" s="14"/>
      <c r="P98" s="12"/>
      <c r="Q98" s="99"/>
      <c r="R98" s="14"/>
      <c r="S98" s="99"/>
      <c r="T98" s="24">
        <f aca="true" t="shared" si="4" ref="T98:T106">SUM(F98:S98)</f>
        <v>43.121555651790004</v>
      </c>
      <c r="U98" s="23">
        <f t="shared" si="1"/>
        <v>4.9805075454750005</v>
      </c>
      <c r="V98" s="23">
        <f t="shared" si="0"/>
        <v>25.063199261100003</v>
      </c>
      <c r="W98" s="117">
        <f t="shared" si="2"/>
        <v>10.97478936875475</v>
      </c>
      <c r="X98" s="23">
        <f aca="true" t="shared" si="5" ref="X98:X106">T98+U98+V98+W98</f>
        <v>84.14005182711976</v>
      </c>
      <c r="Y98" s="23">
        <f aca="true" t="shared" si="6" ref="Y98:Y110">X98*1.18</f>
        <v>99.28526115600131</v>
      </c>
    </row>
    <row r="99" spans="1:25" ht="16.5">
      <c r="A99" s="8">
        <v>35</v>
      </c>
      <c r="B99" s="8" t="s">
        <v>60</v>
      </c>
      <c r="C99" s="11" t="s">
        <v>115</v>
      </c>
      <c r="D99" s="11" t="s">
        <v>199</v>
      </c>
      <c r="E99" s="374">
        <f>26.92/100</f>
        <v>0.2692</v>
      </c>
      <c r="F99" s="180">
        <f>SUM(($Z$8*1.08*1.09*1.5*1.15)/Z9*E99)</f>
        <v>12.478025700000002</v>
      </c>
      <c r="G99" s="180">
        <f>SUM(($Z$8*1.08*1.09*G12*1.15)/Z9*E99)</f>
        <v>1.2478025700000002</v>
      </c>
      <c r="H99" s="180"/>
      <c r="I99" s="239">
        <f t="shared" si="3"/>
        <v>4.6942332683400005</v>
      </c>
      <c r="J99" s="12"/>
      <c r="K99" s="23"/>
      <c r="L99" s="24"/>
      <c r="M99" s="23"/>
      <c r="N99" s="24"/>
      <c r="O99" s="23"/>
      <c r="P99" s="24"/>
      <c r="Q99" s="114"/>
      <c r="R99" s="24"/>
      <c r="S99" s="114"/>
      <c r="T99" s="24">
        <f t="shared" si="4"/>
        <v>18.42006153834</v>
      </c>
      <c r="U99" s="23">
        <f t="shared" si="1"/>
        <v>2.12750338185</v>
      </c>
      <c r="V99" s="23">
        <f t="shared" si="0"/>
        <v>10.706146050600001</v>
      </c>
      <c r="W99" s="117">
        <f t="shared" si="2"/>
        <v>4.6880566456185</v>
      </c>
      <c r="X99" s="23">
        <f t="shared" si="5"/>
        <v>35.941767616408505</v>
      </c>
      <c r="Y99" s="23">
        <f t="shared" si="6"/>
        <v>42.41128578736203</v>
      </c>
    </row>
    <row r="100" spans="1:25" s="184" customFormat="1" ht="28.5">
      <c r="A100" s="118">
        <v>36</v>
      </c>
      <c r="B100" s="181" t="s">
        <v>327</v>
      </c>
      <c r="C100" s="182" t="s">
        <v>277</v>
      </c>
      <c r="D100" s="182" t="s">
        <v>199</v>
      </c>
      <c r="E100" s="375">
        <v>0.6</v>
      </c>
      <c r="F100" s="180">
        <f>SUM(($Z$8*1.075*1.5*1.15)/Z9*E100)</f>
        <v>25.396874999999998</v>
      </c>
      <c r="G100" s="180">
        <f>SUM(($Z$8*1.075*G12*1.15)/Z9*E100)</f>
        <v>2.5396875</v>
      </c>
      <c r="H100" s="180"/>
      <c r="I100" s="238">
        <f t="shared" si="3"/>
        <v>9.554304375</v>
      </c>
      <c r="J100" s="122"/>
      <c r="K100" s="120"/>
      <c r="L100" s="121"/>
      <c r="M100" s="120"/>
      <c r="N100" s="121"/>
      <c r="O100" s="120"/>
      <c r="P100" s="121"/>
      <c r="Q100" s="180"/>
      <c r="R100" s="121"/>
      <c r="S100" s="180"/>
      <c r="T100" s="121">
        <f t="shared" si="4"/>
        <v>37.490866874999995</v>
      </c>
      <c r="U100" s="23">
        <f t="shared" si="1"/>
        <v>4.3301671875</v>
      </c>
      <c r="V100" s="23">
        <f t="shared" si="0"/>
        <v>21.79051875</v>
      </c>
      <c r="W100" s="117">
        <f t="shared" si="2"/>
        <v>9.541732921874999</v>
      </c>
      <c r="X100" s="120">
        <f t="shared" si="5"/>
        <v>73.15328573437499</v>
      </c>
      <c r="Y100" s="120">
        <f t="shared" si="6"/>
        <v>86.32087716656248</v>
      </c>
    </row>
    <row r="101" spans="1:25" ht="16.5">
      <c r="A101" s="8">
        <v>37</v>
      </c>
      <c r="B101" s="8" t="s">
        <v>278</v>
      </c>
      <c r="C101" s="11" t="s">
        <v>279</v>
      </c>
      <c r="D101" s="11" t="s">
        <v>199</v>
      </c>
      <c r="E101" s="23">
        <v>0.65</v>
      </c>
      <c r="F101" s="180">
        <f>SUM(($Z$8*1.075*1.5*1.15)/Z9*E101)</f>
        <v>27.513281250000002</v>
      </c>
      <c r="G101" s="180">
        <f>SUM(($Z$8*1.075*G12*1.15)/Z9*E101)</f>
        <v>2.7513281249999997</v>
      </c>
      <c r="H101" s="180"/>
      <c r="I101" s="239">
        <f t="shared" si="3"/>
        <v>10.350496406250002</v>
      </c>
      <c r="J101" s="12"/>
      <c r="K101" s="23"/>
      <c r="L101" s="24"/>
      <c r="M101" s="23"/>
      <c r="N101" s="24"/>
      <c r="O101" s="23"/>
      <c r="P101" s="24"/>
      <c r="Q101" s="114"/>
      <c r="R101" s="24"/>
      <c r="S101" s="114"/>
      <c r="T101" s="24">
        <f t="shared" si="4"/>
        <v>40.61510578125001</v>
      </c>
      <c r="U101" s="23">
        <f t="shared" si="1"/>
        <v>4.691014453125001</v>
      </c>
      <c r="V101" s="23">
        <f t="shared" si="0"/>
        <v>23.606395312500002</v>
      </c>
      <c r="W101" s="117">
        <f t="shared" si="2"/>
        <v>10.336877332031252</v>
      </c>
      <c r="X101" s="23">
        <f t="shared" si="5"/>
        <v>79.24939287890626</v>
      </c>
      <c r="Y101" s="23">
        <f t="shared" si="6"/>
        <v>93.51428359710938</v>
      </c>
    </row>
    <row r="102" spans="1:25" ht="14.25">
      <c r="A102" s="8">
        <v>38</v>
      </c>
      <c r="B102" s="8" t="s">
        <v>328</v>
      </c>
      <c r="C102" s="11" t="s">
        <v>206</v>
      </c>
      <c r="D102" s="11" t="s">
        <v>172</v>
      </c>
      <c r="E102" s="23">
        <f>0.164</f>
        <v>0.164</v>
      </c>
      <c r="F102" s="180">
        <f>SUM(($Z$8*1.09*1.5*1.15)/Z9*E102)</f>
        <v>7.0386750000000005</v>
      </c>
      <c r="G102" s="180">
        <f>SUM(($Z$8*1.09*G12*1.15)/Z9*E102)</f>
        <v>0.7038675000000001</v>
      </c>
      <c r="H102" s="114"/>
      <c r="I102" s="239">
        <f t="shared" si="3"/>
        <v>2.6479495350000004</v>
      </c>
      <c r="J102" s="12"/>
      <c r="K102" s="23"/>
      <c r="L102" s="24">
        <f>0.013*C126</f>
        <v>0.36621</v>
      </c>
      <c r="M102" s="23"/>
      <c r="N102" s="24"/>
      <c r="O102" s="23"/>
      <c r="P102" s="24"/>
      <c r="Q102" s="114"/>
      <c r="R102" s="24"/>
      <c r="S102" s="114"/>
      <c r="T102" s="24">
        <f t="shared" si="4"/>
        <v>10.756702035000002</v>
      </c>
      <c r="U102" s="23">
        <f t="shared" si="1"/>
        <v>1.2000940875000001</v>
      </c>
      <c r="V102" s="23">
        <f t="shared" si="0"/>
        <v>6.03918315</v>
      </c>
      <c r="W102" s="117">
        <f t="shared" si="2"/>
        <v>2.699396890875</v>
      </c>
      <c r="X102" s="23">
        <f t="shared" si="5"/>
        <v>20.695376163375002</v>
      </c>
      <c r="Y102" s="23">
        <f t="shared" si="6"/>
        <v>24.420543872782503</v>
      </c>
    </row>
    <row r="103" spans="1:25" ht="14.25">
      <c r="A103" s="8">
        <v>39</v>
      </c>
      <c r="B103" s="8" t="s">
        <v>330</v>
      </c>
      <c r="C103" s="11" t="s">
        <v>204</v>
      </c>
      <c r="D103" s="11" t="s">
        <v>205</v>
      </c>
      <c r="E103" s="23">
        <v>0.18</v>
      </c>
      <c r="F103" s="180">
        <f>SUM(($Z$8*1.09*1.5*1.15)/Z9*E103)</f>
        <v>7.7253750000000005</v>
      </c>
      <c r="G103" s="180">
        <f>SUM(($Z$8*1.09*G12*1.15)/Z9*E103)</f>
        <v>0.7725375</v>
      </c>
      <c r="H103" s="114"/>
      <c r="I103" s="239">
        <f t="shared" si="3"/>
        <v>2.906286075</v>
      </c>
      <c r="J103" s="12"/>
      <c r="K103" s="23"/>
      <c r="L103" s="24">
        <f>0.013*C126</f>
        <v>0.36621</v>
      </c>
      <c r="M103" s="23"/>
      <c r="N103" s="24"/>
      <c r="O103" s="23"/>
      <c r="P103" s="24"/>
      <c r="Q103" s="114"/>
      <c r="R103" s="24"/>
      <c r="S103" s="114"/>
      <c r="T103" s="24">
        <f t="shared" si="4"/>
        <v>11.770408575000001</v>
      </c>
      <c r="U103" s="23">
        <f t="shared" si="1"/>
        <v>1.3171764375</v>
      </c>
      <c r="V103" s="23">
        <f t="shared" si="0"/>
        <v>6.62837175</v>
      </c>
      <c r="W103" s="117">
        <f t="shared" si="2"/>
        <v>2.9573935143750005</v>
      </c>
      <c r="X103" s="23">
        <f t="shared" si="5"/>
        <v>22.673350276875002</v>
      </c>
      <c r="Y103" s="23">
        <f t="shared" si="6"/>
        <v>26.7545533267125</v>
      </c>
    </row>
    <row r="104" spans="1:25" ht="16.5">
      <c r="A104" s="8">
        <v>40</v>
      </c>
      <c r="B104" s="8" t="s">
        <v>329</v>
      </c>
      <c r="C104" s="11" t="s">
        <v>174</v>
      </c>
      <c r="D104" s="11" t="s">
        <v>173</v>
      </c>
      <c r="E104" s="23">
        <v>0.55</v>
      </c>
      <c r="F104" s="180">
        <f>SUM(($Z$8*1.0952*1.5*1.15)/Z9*E104)</f>
        <v>23.717924999999997</v>
      </c>
      <c r="G104" s="180">
        <f>SUM(($Z$8*1.0952*G12*1.15)/Z9*E104)</f>
        <v>2.3717924999999997</v>
      </c>
      <c r="H104" s="114"/>
      <c r="I104" s="239">
        <f>(F104+G104+H104)*$I$12</f>
        <v>8.922683385000001</v>
      </c>
      <c r="J104" s="12"/>
      <c r="K104" s="23"/>
      <c r="L104" s="24"/>
      <c r="M104" s="23"/>
      <c r="N104" s="24"/>
      <c r="O104" s="23"/>
      <c r="P104" s="24"/>
      <c r="Q104" s="114"/>
      <c r="R104" s="24"/>
      <c r="S104" s="114"/>
      <c r="T104" s="24">
        <f>SUM(F104:S104)</f>
        <v>35.012400885</v>
      </c>
      <c r="U104" s="23">
        <f t="shared" si="1"/>
        <v>4.0439062125</v>
      </c>
      <c r="V104" s="23">
        <f t="shared" si="0"/>
        <v>20.34997965</v>
      </c>
      <c r="W104" s="117">
        <f t="shared" si="2"/>
        <v>8.910943012125</v>
      </c>
      <c r="X104" s="23">
        <f>T104+U104+V104+W104</f>
        <v>68.317229759625</v>
      </c>
      <c r="Y104" s="23">
        <f t="shared" si="6"/>
        <v>80.61433111635749</v>
      </c>
    </row>
    <row r="105" spans="1:25" ht="14.25">
      <c r="A105" s="8">
        <v>41</v>
      </c>
      <c r="B105" s="8" t="s">
        <v>0</v>
      </c>
      <c r="C105" s="11" t="s">
        <v>114</v>
      </c>
      <c r="D105" s="11" t="s">
        <v>141</v>
      </c>
      <c r="E105" s="374">
        <f>1.209/10</f>
        <v>0.12090000000000001</v>
      </c>
      <c r="F105" s="180">
        <f>SUM(($Z$8*1.09*1.5*1.15)/Z9*E105)</f>
        <v>5.188876875000001</v>
      </c>
      <c r="G105" s="180">
        <f>SUM(($Z$8*1.09*G12*1.15)/Z9*E105)</f>
        <v>0.5188876875</v>
      </c>
      <c r="H105" s="114"/>
      <c r="I105" s="239">
        <f t="shared" si="3"/>
        <v>1.9520554803750005</v>
      </c>
      <c r="J105" s="14"/>
      <c r="K105" s="24"/>
      <c r="L105" s="24">
        <f>0.03/10*C126</f>
        <v>0.08451</v>
      </c>
      <c r="M105" s="24"/>
      <c r="N105" s="24"/>
      <c r="O105" s="24"/>
      <c r="P105" s="24"/>
      <c r="Q105" s="239"/>
      <c r="R105" s="24"/>
      <c r="S105" s="239"/>
      <c r="T105" s="24">
        <f t="shared" si="4"/>
        <v>7.744330042875002</v>
      </c>
      <c r="U105" s="24">
        <f t="shared" si="1"/>
        <v>0.8847035071875002</v>
      </c>
      <c r="V105" s="24">
        <f t="shared" si="0"/>
        <v>4.452056358750001</v>
      </c>
      <c r="W105" s="24">
        <f t="shared" si="2"/>
        <v>1.9621634863218753</v>
      </c>
      <c r="X105" s="23">
        <f t="shared" si="5"/>
        <v>15.043253395134379</v>
      </c>
      <c r="Y105" s="23">
        <f t="shared" si="6"/>
        <v>17.751039006258566</v>
      </c>
    </row>
    <row r="106" spans="1:25" ht="28.5">
      <c r="A106" s="8">
        <v>42</v>
      </c>
      <c r="B106" s="372" t="s">
        <v>446</v>
      </c>
      <c r="C106" s="373" t="s">
        <v>86</v>
      </c>
      <c r="D106" s="11" t="s">
        <v>447</v>
      </c>
      <c r="E106" s="374">
        <v>0.54</v>
      </c>
      <c r="F106" s="180">
        <f>SUM(($Z$8*1.09*1.5*1.15)/Z9*E106)</f>
        <v>23.176125000000003</v>
      </c>
      <c r="G106" s="180">
        <f>SUM(($Z$8*1.09*G12*1.15)/Z9*E106)</f>
        <v>2.3176125</v>
      </c>
      <c r="H106" s="114"/>
      <c r="I106" s="239">
        <f t="shared" si="3"/>
        <v>8.718858225000002</v>
      </c>
      <c r="J106" s="14"/>
      <c r="K106" s="24"/>
      <c r="L106" s="24"/>
      <c r="M106" s="24"/>
      <c r="N106" s="24"/>
      <c r="O106" s="24"/>
      <c r="P106" s="24"/>
      <c r="Q106" s="239"/>
      <c r="R106" s="24"/>
      <c r="S106" s="239"/>
      <c r="T106" s="24">
        <f t="shared" si="4"/>
        <v>34.212595725</v>
      </c>
      <c r="U106" s="24">
        <f t="shared" si="1"/>
        <v>3.9515293125000004</v>
      </c>
      <c r="V106" s="24">
        <f t="shared" si="0"/>
        <v>19.885115250000002</v>
      </c>
      <c r="W106" s="24">
        <f t="shared" si="2"/>
        <v>8.707386043125</v>
      </c>
      <c r="X106" s="23">
        <f t="shared" si="5"/>
        <v>66.756626330625</v>
      </c>
      <c r="Y106" s="23">
        <f t="shared" si="6"/>
        <v>78.77281907013749</v>
      </c>
    </row>
    <row r="107" spans="1:25" ht="28.5">
      <c r="A107" s="8">
        <v>43</v>
      </c>
      <c r="B107" s="372" t="s">
        <v>448</v>
      </c>
      <c r="C107" s="373" t="s">
        <v>86</v>
      </c>
      <c r="D107" s="11" t="s">
        <v>447</v>
      </c>
      <c r="E107" s="374">
        <v>0.6</v>
      </c>
      <c r="F107" s="180">
        <f>SUM(($Z$8*1.09*1.5*1.15)/Z9*E106)</f>
        <v>23.176125000000003</v>
      </c>
      <c r="G107" s="180">
        <f>SUM(($Z$8*1.09*G12*1.15)/Z9*E107)</f>
        <v>2.575125</v>
      </c>
      <c r="H107" s="114"/>
      <c r="I107" s="239">
        <f t="shared" si="3"/>
        <v>8.806927500000002</v>
      </c>
      <c r="J107" s="14"/>
      <c r="K107" s="24"/>
      <c r="L107" s="24"/>
      <c r="M107" s="24"/>
      <c r="N107" s="24"/>
      <c r="O107" s="24"/>
      <c r="P107" s="24"/>
      <c r="Q107" s="239"/>
      <c r="R107" s="24"/>
      <c r="S107" s="239"/>
      <c r="T107" s="24">
        <f>SUM(F107:S107)</f>
        <v>34.558177500000006</v>
      </c>
      <c r="U107" s="24">
        <f>(F107+G107+H107)*$U$13</f>
        <v>3.99144375</v>
      </c>
      <c r="V107" s="24">
        <f>(F107+G107+H107)*$V$13</f>
        <v>20.085975</v>
      </c>
      <c r="W107" s="24">
        <f>(T107+U107+V107)*$W$12</f>
        <v>8.795339437500001</v>
      </c>
      <c r="X107" s="23">
        <f>T107+U107+V107+W107</f>
        <v>67.43093568750001</v>
      </c>
      <c r="Y107" s="23">
        <f t="shared" si="6"/>
        <v>79.56850411125001</v>
      </c>
    </row>
    <row r="108" spans="1:25" ht="14.25">
      <c r="A108" s="8">
        <v>44</v>
      </c>
      <c r="B108" s="8" t="s">
        <v>449</v>
      </c>
      <c r="C108" s="373" t="s">
        <v>86</v>
      </c>
      <c r="D108" s="11" t="s">
        <v>447</v>
      </c>
      <c r="E108" s="374">
        <v>0.47</v>
      </c>
      <c r="F108" s="180">
        <f>SUM(($Z$8*1.09*1.5*1.15)/Z9*E108)</f>
        <v>20.1718125</v>
      </c>
      <c r="G108" s="180">
        <f>SUM(($Z$8*1.09*G12*1.15)/Z9*E108)</f>
        <v>2.01718125</v>
      </c>
      <c r="H108" s="114"/>
      <c r="I108" s="239">
        <f>(F108+G108+H108)*$I$12</f>
        <v>7.588635862500001</v>
      </c>
      <c r="J108" s="14"/>
      <c r="K108" s="24"/>
      <c r="L108" s="24"/>
      <c r="M108" s="24"/>
      <c r="N108" s="24"/>
      <c r="O108" s="24"/>
      <c r="P108" s="24"/>
      <c r="Q108" s="239"/>
      <c r="R108" s="24"/>
      <c r="S108" s="239"/>
      <c r="T108" s="24">
        <f>SUM(F108:S108)</f>
        <v>29.777629612500004</v>
      </c>
      <c r="U108" s="24">
        <f>(F108+G108+H108)*$U$13</f>
        <v>3.43929403125</v>
      </c>
      <c r="V108" s="24">
        <f>(F108+G108+H108)*$V$13</f>
        <v>17.307415125000002</v>
      </c>
      <c r="W108" s="24">
        <f>(T108+U108+V108)*$W$12</f>
        <v>7.578650815312502</v>
      </c>
      <c r="X108" s="23">
        <f>T108+U108+V108+W108</f>
        <v>58.10298958406251</v>
      </c>
      <c r="Y108" s="23">
        <f t="shared" si="6"/>
        <v>68.56152770919377</v>
      </c>
    </row>
    <row r="109" spans="1:25" ht="14.25">
      <c r="A109" s="8">
        <v>45</v>
      </c>
      <c r="B109" s="8" t="s">
        <v>450</v>
      </c>
      <c r="C109" s="373" t="s">
        <v>86</v>
      </c>
      <c r="D109" s="11" t="s">
        <v>447</v>
      </c>
      <c r="E109" s="374">
        <v>0.15</v>
      </c>
      <c r="F109" s="180">
        <f>SUM(($Z$8*1.09*1.5*1.15)/Z9*E109)</f>
        <v>6.437812500000001</v>
      </c>
      <c r="G109" s="180">
        <f>SUM(($Z$8*1.09*G12*1.15)/Z9*E109)</f>
        <v>0.64378125</v>
      </c>
      <c r="H109" s="114"/>
      <c r="I109" s="239">
        <f>(F109+G109+H109)*$I$12</f>
        <v>2.4219050625000005</v>
      </c>
      <c r="J109" s="14"/>
      <c r="K109" s="24"/>
      <c r="L109" s="24"/>
      <c r="M109" s="24"/>
      <c r="N109" s="24"/>
      <c r="O109" s="24"/>
      <c r="P109" s="24"/>
      <c r="Q109" s="239"/>
      <c r="R109" s="24"/>
      <c r="S109" s="239"/>
      <c r="T109" s="24">
        <f>SUM(F109:S109)</f>
        <v>9.503498812500002</v>
      </c>
      <c r="U109" s="24">
        <f>(F109+G109+H109)*$U$13</f>
        <v>1.0976470312500002</v>
      </c>
      <c r="V109" s="24">
        <f>(F109+G109+H109)*$V$13</f>
        <v>5.523643125</v>
      </c>
      <c r="W109" s="24">
        <f>(T109+U109+V109)*$W$12</f>
        <v>2.4187183453125005</v>
      </c>
      <c r="X109" s="23">
        <f>T109+U109+V109+W109</f>
        <v>18.543507314062502</v>
      </c>
      <c r="Y109" s="23">
        <f t="shared" si="6"/>
        <v>21.881338630593753</v>
      </c>
    </row>
    <row r="110" spans="1:25" ht="15" thickBot="1">
      <c r="A110" s="20">
        <v>46</v>
      </c>
      <c r="B110" s="20" t="s">
        <v>451</v>
      </c>
      <c r="C110" s="376" t="s">
        <v>86</v>
      </c>
      <c r="D110" s="28" t="s">
        <v>447</v>
      </c>
      <c r="E110" s="29">
        <v>1.47</v>
      </c>
      <c r="F110" s="252">
        <f>SUM(($Z$8*1.09*1.5*1.15)/Z9*E110)</f>
        <v>63.090562500000004</v>
      </c>
      <c r="G110" s="252">
        <f>SUM(($Z$8*1.09*G12*1.15)/Z9*E110)</f>
        <v>6.30905625</v>
      </c>
      <c r="H110" s="237"/>
      <c r="I110" s="239">
        <f>(F110+G110+H110)*$I$12</f>
        <v>23.734669612500003</v>
      </c>
      <c r="J110" s="14"/>
      <c r="K110" s="24"/>
      <c r="L110" s="24"/>
      <c r="M110" s="24"/>
      <c r="N110" s="24"/>
      <c r="O110" s="24"/>
      <c r="P110" s="24"/>
      <c r="Q110" s="239"/>
      <c r="R110" s="24"/>
      <c r="S110" s="239"/>
      <c r="T110" s="24">
        <f>SUM(F110:S110)</f>
        <v>93.1342883625</v>
      </c>
      <c r="U110" s="24">
        <f>(F110+G110+H110)*$U$13</f>
        <v>10.75694090625</v>
      </c>
      <c r="V110" s="24">
        <f>(F110+G110+H110)*$V$13</f>
        <v>54.131702625</v>
      </c>
      <c r="W110" s="24">
        <f>(T110+U110+V110)*$W$12</f>
        <v>23.7034397840625</v>
      </c>
      <c r="X110" s="30">
        <f>T110+U110+V110+W110</f>
        <v>181.72637167781252</v>
      </c>
      <c r="Y110" s="30">
        <f t="shared" si="6"/>
        <v>214.43711857981876</v>
      </c>
    </row>
    <row r="111" spans="2:7" ht="15">
      <c r="B111" s="1" t="s">
        <v>118</v>
      </c>
      <c r="C111" s="1"/>
      <c r="F111" s="231"/>
      <c r="G111" s="231"/>
    </row>
    <row r="112" spans="2:7" ht="14.25">
      <c r="B112" s="2" t="s">
        <v>119</v>
      </c>
      <c r="F112" s="231"/>
      <c r="G112" s="231"/>
    </row>
    <row r="113" spans="6:7" ht="14.25">
      <c r="F113" s="231"/>
      <c r="G113" s="231"/>
    </row>
    <row r="114" spans="2:24" ht="14.25">
      <c r="B114" s="2" t="s">
        <v>190</v>
      </c>
      <c r="F114" s="231"/>
      <c r="G114" s="231"/>
      <c r="X114" s="2" t="s">
        <v>144</v>
      </c>
    </row>
    <row r="115" spans="6:7" ht="14.25">
      <c r="F115" s="231"/>
      <c r="G115" s="231"/>
    </row>
    <row r="116" spans="2:24" ht="22.5" customHeight="1">
      <c r="B116" s="2" t="s">
        <v>191</v>
      </c>
      <c r="F116" s="231"/>
      <c r="G116" s="231"/>
      <c r="X116" s="2" t="s">
        <v>339</v>
      </c>
    </row>
    <row r="117" spans="6:7" ht="14.25">
      <c r="F117" s="231"/>
      <c r="G117" s="231"/>
    </row>
    <row r="118" spans="2:7" ht="14.25">
      <c r="B118" s="2" t="s">
        <v>231</v>
      </c>
      <c r="F118" s="231"/>
      <c r="G118" s="231"/>
    </row>
    <row r="119" spans="2:24" ht="14.25">
      <c r="B119" s="2" t="s">
        <v>429</v>
      </c>
      <c r="F119" s="231"/>
      <c r="G119" s="231"/>
      <c r="X119" s="2" t="s">
        <v>417</v>
      </c>
    </row>
    <row r="120" spans="6:7" ht="14.25">
      <c r="F120" s="231"/>
      <c r="G120" s="231"/>
    </row>
    <row r="121" spans="2:7" ht="14.25" hidden="1">
      <c r="B121" s="2" t="s">
        <v>299</v>
      </c>
      <c r="C121" s="230">
        <f>49898.87/1000</f>
        <v>49.89887</v>
      </c>
      <c r="D121" s="2" t="s">
        <v>297</v>
      </c>
      <c r="E121" s="229">
        <v>39783</v>
      </c>
      <c r="F121" s="231" t="s">
        <v>298</v>
      </c>
      <c r="G121" s="231"/>
    </row>
    <row r="122" spans="2:7" ht="14.25" hidden="1">
      <c r="B122" s="2" t="s">
        <v>300</v>
      </c>
      <c r="C122" s="230">
        <f>94.35/1000</f>
        <v>0.09434999999999999</v>
      </c>
      <c r="D122" s="2" t="s">
        <v>297</v>
      </c>
      <c r="E122" s="229">
        <v>39783</v>
      </c>
      <c r="F122" s="231" t="s">
        <v>301</v>
      </c>
      <c r="G122" s="231"/>
    </row>
    <row r="123" spans="2:7" ht="14.25" hidden="1">
      <c r="B123" s="2" t="s">
        <v>365</v>
      </c>
      <c r="C123" s="230">
        <f>48516/1000</f>
        <v>48.516</v>
      </c>
      <c r="D123" s="2" t="s">
        <v>297</v>
      </c>
      <c r="E123" s="229">
        <v>39783</v>
      </c>
      <c r="F123" s="231" t="s">
        <v>302</v>
      </c>
      <c r="G123" s="231"/>
    </row>
    <row r="124" spans="2:7" ht="14.25" hidden="1">
      <c r="B124" s="2" t="s">
        <v>305</v>
      </c>
      <c r="C124" s="230">
        <f>12457.63/1000</f>
        <v>12.45763</v>
      </c>
      <c r="D124" s="2" t="s">
        <v>297</v>
      </c>
      <c r="E124" s="229">
        <v>39783</v>
      </c>
      <c r="F124" s="231" t="s">
        <v>366</v>
      </c>
      <c r="G124" s="231"/>
    </row>
    <row r="125" spans="2:7" ht="14.25" hidden="1">
      <c r="B125" s="2" t="s">
        <v>307</v>
      </c>
      <c r="C125" s="230">
        <f>5310/1000</f>
        <v>5.31</v>
      </c>
      <c r="D125" s="2" t="s">
        <v>297</v>
      </c>
      <c r="E125" s="229">
        <v>39783</v>
      </c>
      <c r="F125" s="231" t="s">
        <v>308</v>
      </c>
      <c r="G125" s="231"/>
    </row>
    <row r="126" spans="2:7" ht="14.25" hidden="1">
      <c r="B126" s="2" t="s">
        <v>363</v>
      </c>
      <c r="C126" s="31">
        <v>28.17</v>
      </c>
      <c r="D126" s="2" t="s">
        <v>303</v>
      </c>
      <c r="E126" s="229">
        <v>39783</v>
      </c>
      <c r="F126" s="231" t="s">
        <v>362</v>
      </c>
      <c r="G126" s="231"/>
    </row>
    <row r="127" spans="2:7" ht="14.25" hidden="1">
      <c r="B127" s="2" t="s">
        <v>367</v>
      </c>
      <c r="C127" s="31">
        <f>109.2</f>
        <v>109.2</v>
      </c>
      <c r="D127" s="2" t="s">
        <v>304</v>
      </c>
      <c r="F127" s="231"/>
      <c r="G127" s="231"/>
    </row>
    <row r="128" spans="2:7" ht="14.25" hidden="1">
      <c r="B128" s="2" t="s">
        <v>364</v>
      </c>
      <c r="C128" s="31">
        <v>2.97</v>
      </c>
      <c r="D128" s="2" t="s">
        <v>306</v>
      </c>
      <c r="E128" s="229">
        <v>39783</v>
      </c>
      <c r="F128" s="231" t="s">
        <v>361</v>
      </c>
      <c r="G128" s="231"/>
    </row>
    <row r="129" spans="6:7" ht="14.25" hidden="1">
      <c r="F129" s="231"/>
      <c r="G129" s="231"/>
    </row>
    <row r="130" spans="6:7" ht="14.25" hidden="1">
      <c r="F130" s="231"/>
      <c r="G130" s="231"/>
    </row>
    <row r="131" spans="1:25" ht="15.75" hidden="1">
      <c r="A131" s="431" t="s">
        <v>116</v>
      </c>
      <c r="B131" s="431"/>
      <c r="C131" s="431"/>
      <c r="D131" s="431"/>
      <c r="E131" s="431"/>
      <c r="F131" s="431"/>
      <c r="G131" s="431"/>
      <c r="H131" s="431"/>
      <c r="I131" s="431"/>
      <c r="J131" s="431"/>
      <c r="K131" s="431"/>
      <c r="L131" s="431"/>
      <c r="M131" s="431"/>
      <c r="N131" s="431"/>
      <c r="O131" s="431"/>
      <c r="P131" s="431"/>
      <c r="Q131" s="431"/>
      <c r="R131" s="431"/>
      <c r="S131" s="431"/>
      <c r="T131" s="431"/>
      <c r="U131" s="431"/>
      <c r="V131" s="431"/>
      <c r="W131" s="431"/>
      <c r="X131" s="431"/>
      <c r="Y131" s="431"/>
    </row>
    <row r="132" spans="1:25" ht="14.25" hidden="1">
      <c r="A132" s="440" t="s">
        <v>117</v>
      </c>
      <c r="B132" s="440"/>
      <c r="C132" s="440"/>
      <c r="D132" s="440"/>
      <c r="E132" s="440"/>
      <c r="F132" s="440"/>
      <c r="G132" s="440"/>
      <c r="H132" s="440"/>
      <c r="I132" s="440"/>
      <c r="J132" s="440"/>
      <c r="K132" s="440"/>
      <c r="L132" s="440"/>
      <c r="M132" s="440"/>
      <c r="N132" s="440"/>
      <c r="O132" s="440"/>
      <c r="P132" s="440"/>
      <c r="Q132" s="440"/>
      <c r="R132" s="440"/>
      <c r="S132" s="440"/>
      <c r="T132" s="440"/>
      <c r="U132" s="440"/>
      <c r="V132" s="440"/>
      <c r="W132" s="440"/>
      <c r="X132" s="440"/>
      <c r="Y132" s="440"/>
    </row>
    <row r="133" spans="1:25" ht="14.25" hidden="1">
      <c r="A133" s="440" t="s">
        <v>393</v>
      </c>
      <c r="B133" s="440"/>
      <c r="C133" s="440"/>
      <c r="D133" s="440"/>
      <c r="E133" s="440"/>
      <c r="F133" s="440"/>
      <c r="G133" s="440"/>
      <c r="H133" s="440"/>
      <c r="I133" s="440"/>
      <c r="J133" s="440"/>
      <c r="K133" s="440"/>
      <c r="L133" s="440"/>
      <c r="M133" s="440"/>
      <c r="N133" s="440"/>
      <c r="O133" s="440"/>
      <c r="P133" s="440"/>
      <c r="Q133" s="440"/>
      <c r="R133" s="440"/>
      <c r="S133" s="440"/>
      <c r="T133" s="440"/>
      <c r="U133" s="440"/>
      <c r="V133" s="440"/>
      <c r="W133" s="440"/>
      <c r="X133" s="440"/>
      <c r="Y133" s="440"/>
    </row>
    <row r="134" spans="6:26" ht="15" hidden="1" thickBot="1">
      <c r="F134" s="231"/>
      <c r="G134" s="231"/>
      <c r="Z134" s="2">
        <v>165.6</v>
      </c>
    </row>
    <row r="135" spans="1:25" ht="15" hidden="1">
      <c r="A135" s="441" t="s">
        <v>71</v>
      </c>
      <c r="B135" s="436" t="s">
        <v>178</v>
      </c>
      <c r="C135" s="444" t="s">
        <v>372</v>
      </c>
      <c r="D135" s="433" t="s">
        <v>72</v>
      </c>
      <c r="E135" s="6" t="s">
        <v>35</v>
      </c>
      <c r="F135" s="232" t="s">
        <v>29</v>
      </c>
      <c r="G135" s="240" t="s">
        <v>36</v>
      </c>
      <c r="H135" s="232" t="s">
        <v>31</v>
      </c>
      <c r="I135" s="243" t="s">
        <v>33</v>
      </c>
      <c r="J135" s="6" t="s">
        <v>122</v>
      </c>
      <c r="K135" s="4" t="s">
        <v>197</v>
      </c>
      <c r="L135" s="6" t="s">
        <v>197</v>
      </c>
      <c r="M135" s="4" t="s">
        <v>197</v>
      </c>
      <c r="N135" s="6" t="s">
        <v>197</v>
      </c>
      <c r="O135" s="4" t="s">
        <v>45</v>
      </c>
      <c r="P135" s="6" t="s">
        <v>197</v>
      </c>
      <c r="Q135" s="232" t="s">
        <v>45</v>
      </c>
      <c r="R135" s="6" t="s">
        <v>197</v>
      </c>
      <c r="S135" s="232" t="s">
        <v>197</v>
      </c>
      <c r="T135" s="6" t="s">
        <v>196</v>
      </c>
      <c r="U135" s="433" t="s">
        <v>395</v>
      </c>
      <c r="V135" s="433" t="s">
        <v>396</v>
      </c>
      <c r="W135" s="3" t="s">
        <v>62</v>
      </c>
      <c r="X135" s="4" t="s">
        <v>257</v>
      </c>
      <c r="Y135" s="73" t="s">
        <v>142</v>
      </c>
    </row>
    <row r="136" spans="1:25" ht="15" hidden="1">
      <c r="A136" s="442"/>
      <c r="B136" s="437"/>
      <c r="C136" s="445"/>
      <c r="D136" s="447"/>
      <c r="E136" s="10" t="s">
        <v>61</v>
      </c>
      <c r="F136" s="233" t="s">
        <v>30</v>
      </c>
      <c r="G136" s="241" t="s">
        <v>37</v>
      </c>
      <c r="H136" s="233" t="s">
        <v>32</v>
      </c>
      <c r="I136" s="244" t="s">
        <v>34</v>
      </c>
      <c r="J136" s="10" t="s">
        <v>123</v>
      </c>
      <c r="K136" s="11" t="s">
        <v>124</v>
      </c>
      <c r="L136" s="10" t="s">
        <v>125</v>
      </c>
      <c r="M136" s="11" t="s">
        <v>127</v>
      </c>
      <c r="N136" s="10" t="s">
        <v>126</v>
      </c>
      <c r="O136" s="11" t="s">
        <v>46</v>
      </c>
      <c r="P136" s="10" t="s">
        <v>20</v>
      </c>
      <c r="Q136" s="233" t="s">
        <v>21</v>
      </c>
      <c r="R136" s="10" t="s">
        <v>55</v>
      </c>
      <c r="S136" s="233" t="s">
        <v>54</v>
      </c>
      <c r="T136" s="10" t="s">
        <v>230</v>
      </c>
      <c r="U136" s="434"/>
      <c r="V136" s="434"/>
      <c r="W136" s="7" t="s">
        <v>63</v>
      </c>
      <c r="X136" s="11" t="s">
        <v>24</v>
      </c>
      <c r="Y136" s="196" t="s">
        <v>70</v>
      </c>
    </row>
    <row r="137" spans="1:25" ht="15" hidden="1">
      <c r="A137" s="442"/>
      <c r="B137" s="437"/>
      <c r="C137" s="445"/>
      <c r="D137" s="447"/>
      <c r="E137" s="10" t="s">
        <v>143</v>
      </c>
      <c r="F137" s="99"/>
      <c r="G137" s="340">
        <v>0.15</v>
      </c>
      <c r="H137" s="99"/>
      <c r="I137" s="245">
        <v>0.262</v>
      </c>
      <c r="J137" s="16"/>
      <c r="K137" s="17" t="s">
        <v>57</v>
      </c>
      <c r="L137" s="16"/>
      <c r="M137" s="17"/>
      <c r="N137" s="16"/>
      <c r="O137" s="15" t="s">
        <v>47</v>
      </c>
      <c r="P137" s="18"/>
      <c r="Q137" s="234"/>
      <c r="R137" s="18" t="s">
        <v>56</v>
      </c>
      <c r="S137" s="234" t="s">
        <v>22</v>
      </c>
      <c r="T137" s="14"/>
      <c r="U137" s="434"/>
      <c r="V137" s="434"/>
      <c r="W137" s="41">
        <v>0.15</v>
      </c>
      <c r="X137" s="11" t="s">
        <v>283</v>
      </c>
      <c r="Y137" s="196" t="s">
        <v>176</v>
      </c>
    </row>
    <row r="138" spans="1:25" ht="15.75" hidden="1" thickBot="1">
      <c r="A138" s="443"/>
      <c r="B138" s="438"/>
      <c r="C138" s="446"/>
      <c r="D138" s="448"/>
      <c r="E138" s="22"/>
      <c r="F138" s="235"/>
      <c r="G138" s="242"/>
      <c r="H138" s="235"/>
      <c r="I138" s="246"/>
      <c r="J138" s="22"/>
      <c r="K138" s="20" t="s">
        <v>58</v>
      </c>
      <c r="L138" s="22"/>
      <c r="M138" s="20"/>
      <c r="N138" s="22"/>
      <c r="O138" s="20"/>
      <c r="P138" s="22"/>
      <c r="Q138" s="235"/>
      <c r="R138" s="22"/>
      <c r="S138" s="235"/>
      <c r="T138" s="22"/>
      <c r="U138" s="291">
        <v>0.155</v>
      </c>
      <c r="V138" s="291">
        <v>0.682</v>
      </c>
      <c r="W138" s="19"/>
      <c r="X138" s="28" t="s">
        <v>176</v>
      </c>
      <c r="Y138" s="197">
        <v>0.18</v>
      </c>
    </row>
    <row r="139" spans="1:25" ht="15" hidden="1" thickBot="1">
      <c r="A139" s="3">
        <v>1</v>
      </c>
      <c r="B139" s="4">
        <v>2</v>
      </c>
      <c r="C139" s="5"/>
      <c r="D139" s="5">
        <v>3</v>
      </c>
      <c r="E139" s="297"/>
      <c r="F139" s="298"/>
      <c r="G139" s="299"/>
      <c r="H139" s="299"/>
      <c r="I139" s="300"/>
      <c r="J139" s="297"/>
      <c r="K139" s="301"/>
      <c r="L139" s="297"/>
      <c r="M139" s="297"/>
      <c r="N139" s="297"/>
      <c r="O139" s="297"/>
      <c r="P139" s="297"/>
      <c r="Q139" s="298"/>
      <c r="R139" s="297"/>
      <c r="S139" s="298"/>
      <c r="T139" s="297"/>
      <c r="U139" s="301"/>
      <c r="V139" s="301"/>
      <c r="W139" s="302"/>
      <c r="X139" s="4">
        <v>4</v>
      </c>
      <c r="Y139" s="5">
        <v>5</v>
      </c>
    </row>
    <row r="140" spans="1:25" ht="14.25" hidden="1">
      <c r="A140" s="301">
        <v>1</v>
      </c>
      <c r="B140" s="301" t="s">
        <v>64</v>
      </c>
      <c r="C140" s="303"/>
      <c r="D140" s="5"/>
      <c r="E140" s="297"/>
      <c r="F140" s="298"/>
      <c r="G140" s="299"/>
      <c r="H140" s="299"/>
      <c r="I140" s="300"/>
      <c r="J140" s="302"/>
      <c r="K140" s="301"/>
      <c r="L140" s="303"/>
      <c r="M140" s="297"/>
      <c r="N140" s="301"/>
      <c r="O140" s="297"/>
      <c r="P140" s="302"/>
      <c r="Q140" s="298"/>
      <c r="R140" s="297"/>
      <c r="S140" s="298"/>
      <c r="T140" s="297"/>
      <c r="U140" s="301"/>
      <c r="V140" s="301"/>
      <c r="W140" s="302"/>
      <c r="X140" s="301"/>
      <c r="Y140" s="303"/>
    </row>
    <row r="141" spans="1:25" ht="16.5" hidden="1">
      <c r="A141" s="8"/>
      <c r="B141" s="8" t="s">
        <v>73</v>
      </c>
      <c r="C141" s="9" t="s">
        <v>74</v>
      </c>
      <c r="D141" s="9"/>
      <c r="E141" s="14"/>
      <c r="F141" s="99"/>
      <c r="G141" s="248"/>
      <c r="H141" s="248"/>
      <c r="I141" s="85"/>
      <c r="J141" s="12"/>
      <c r="K141" s="8"/>
      <c r="L141" s="13"/>
      <c r="M141" s="14"/>
      <c r="N141" s="8"/>
      <c r="O141" s="14"/>
      <c r="P141" s="12"/>
      <c r="Q141" s="99"/>
      <c r="R141" s="14"/>
      <c r="S141" s="99"/>
      <c r="T141" s="14"/>
      <c r="U141" s="8"/>
      <c r="V141" s="8"/>
      <c r="W141" s="12"/>
      <c r="X141" s="8"/>
      <c r="Y141" s="13"/>
    </row>
    <row r="142" spans="1:25" ht="16.5" hidden="1">
      <c r="A142" s="8"/>
      <c r="B142" s="8" t="s">
        <v>296</v>
      </c>
      <c r="C142" s="9" t="s">
        <v>75</v>
      </c>
      <c r="D142" s="9" t="s">
        <v>199</v>
      </c>
      <c r="E142" s="14">
        <f>13.78/10</f>
        <v>1.378</v>
      </c>
      <c r="F142" s="114">
        <f>SUM(($Z$8*1.09*1.5*1.15)/Z134*E142)</f>
        <v>59.1420375</v>
      </c>
      <c r="G142" s="249">
        <f>SUM(($Z$8*1.09*G137*1.15)/Z134*E142)</f>
        <v>5.9142037499999995</v>
      </c>
      <c r="H142" s="249"/>
      <c r="I142" s="239">
        <f>(F142+G142+H142)*$I$12</f>
        <v>22.249234507500002</v>
      </c>
      <c r="J142" s="12"/>
      <c r="K142" s="8"/>
      <c r="L142" s="175">
        <f>0.03/10*28.17</f>
        <v>0.08451</v>
      </c>
      <c r="M142" s="14"/>
      <c r="N142" s="23">
        <f>40.8/10*2.97</f>
        <v>12.117600000000001</v>
      </c>
      <c r="O142" s="14"/>
      <c r="P142" s="12"/>
      <c r="Q142" s="99"/>
      <c r="R142" s="14"/>
      <c r="S142" s="99"/>
      <c r="T142" s="24">
        <f>SUM(F142:S142)</f>
        <v>99.5075857575</v>
      </c>
      <c r="U142" s="23">
        <f>(F142+G142+H142)*$U$13</f>
        <v>10.08371739375</v>
      </c>
      <c r="V142" s="23">
        <f>(F142+G142+H142)*$V$13</f>
        <v>50.743868175</v>
      </c>
      <c r="W142" s="117">
        <f>(T142+U142+V142)*$W$12</f>
        <v>24.0502756989375</v>
      </c>
      <c r="X142" s="23">
        <f>T142+U142+V142+W142</f>
        <v>184.38544702518752</v>
      </c>
      <c r="Y142" s="175">
        <f>X142*1.18</f>
        <v>217.57482748972126</v>
      </c>
    </row>
    <row r="143" spans="1:25" ht="14.25" hidden="1">
      <c r="A143" s="8">
        <v>2</v>
      </c>
      <c r="B143" s="8" t="s">
        <v>64</v>
      </c>
      <c r="C143" s="9"/>
      <c r="D143" s="9"/>
      <c r="E143" s="14"/>
      <c r="F143" s="99"/>
      <c r="G143" s="248"/>
      <c r="H143" s="248"/>
      <c r="I143" s="85"/>
      <c r="J143" s="12"/>
      <c r="K143" s="8"/>
      <c r="L143" s="13"/>
      <c r="M143" s="14"/>
      <c r="N143" s="8"/>
      <c r="O143" s="14"/>
      <c r="P143" s="12"/>
      <c r="Q143" s="99"/>
      <c r="R143" s="14"/>
      <c r="S143" s="99"/>
      <c r="T143" s="14"/>
      <c r="U143" s="23"/>
      <c r="V143" s="8"/>
      <c r="W143" s="117"/>
      <c r="X143" s="8"/>
      <c r="Y143" s="13"/>
    </row>
    <row r="144" spans="1:25" ht="16.5" hidden="1">
      <c r="A144" s="8"/>
      <c r="B144" s="8" t="s">
        <v>76</v>
      </c>
      <c r="C144" s="9" t="s">
        <v>74</v>
      </c>
      <c r="D144" s="9"/>
      <c r="E144" s="14"/>
      <c r="F144" s="99"/>
      <c r="G144" s="248"/>
      <c r="H144" s="248"/>
      <c r="I144" s="85"/>
      <c r="J144" s="12"/>
      <c r="K144" s="8"/>
      <c r="L144" s="13"/>
      <c r="M144" s="14"/>
      <c r="N144" s="8"/>
      <c r="O144" s="14"/>
      <c r="P144" s="12"/>
      <c r="Q144" s="99"/>
      <c r="R144" s="14"/>
      <c r="S144" s="99"/>
      <c r="T144" s="14"/>
      <c r="U144" s="23"/>
      <c r="V144" s="8"/>
      <c r="W144" s="117"/>
      <c r="X144" s="8"/>
      <c r="Y144" s="13"/>
    </row>
    <row r="145" spans="1:25" ht="16.5" hidden="1">
      <c r="A145" s="8"/>
      <c r="B145" s="8" t="s">
        <v>309</v>
      </c>
      <c r="C145" s="9" t="s">
        <v>77</v>
      </c>
      <c r="D145" s="9" t="s">
        <v>199</v>
      </c>
      <c r="E145" s="14">
        <v>1.352</v>
      </c>
      <c r="F145" s="114">
        <f>SUM(($Z$8*1.1212*1.5*1.15)/Z134*E145)</f>
        <v>59.687082</v>
      </c>
      <c r="G145" s="249">
        <f>SUM(($Z$8*1.1212*G137*1.15)/Z134*E145)</f>
        <v>5.968708199999999</v>
      </c>
      <c r="H145" s="249"/>
      <c r="I145" s="239">
        <f>(F145+G145+H145)*$I$12</f>
        <v>22.4542802484</v>
      </c>
      <c r="J145" s="12"/>
      <c r="K145" s="8"/>
      <c r="L145" s="175">
        <f>0.05/10*28.17</f>
        <v>0.14085</v>
      </c>
      <c r="M145" s="14"/>
      <c r="N145" s="23">
        <f>61.2/10*2.97</f>
        <v>18.1764</v>
      </c>
      <c r="O145" s="14"/>
      <c r="P145" s="12"/>
      <c r="Q145" s="99"/>
      <c r="R145" s="14"/>
      <c r="S145" s="99"/>
      <c r="T145" s="24">
        <f>SUM(F145:S145)</f>
        <v>106.4273204484</v>
      </c>
      <c r="U145" s="23">
        <f>(F145+G145+H145)*$U$13</f>
        <v>10.176647481</v>
      </c>
      <c r="V145" s="23">
        <f>(F145+G145+H145)*$V$13</f>
        <v>51.211516356</v>
      </c>
      <c r="W145" s="117">
        <f>(T145+U145+V145)*$W$12</f>
        <v>25.17232264281</v>
      </c>
      <c r="X145" s="23">
        <f>T145+U145+V145+W145</f>
        <v>192.98780692821</v>
      </c>
      <c r="Y145" s="175">
        <f>X145*1.18</f>
        <v>227.7256121752878</v>
      </c>
    </row>
    <row r="146" spans="1:25" ht="16.5" hidden="1">
      <c r="A146" s="8">
        <v>3</v>
      </c>
      <c r="B146" s="8" t="s">
        <v>291</v>
      </c>
      <c r="C146" s="9" t="s">
        <v>78</v>
      </c>
      <c r="D146" s="9" t="s">
        <v>199</v>
      </c>
      <c r="E146" s="14">
        <f>12/100</f>
        <v>0.12</v>
      </c>
      <c r="F146" s="114">
        <f>SUM(($Z$8*1.09*1.5*1.15)/Z134*E146)</f>
        <v>5.15025</v>
      </c>
      <c r="G146" s="249">
        <f>SUM(($Z$8*1.09*G137*1.15)/Z134*E146)</f>
        <v>0.515025</v>
      </c>
      <c r="H146" s="249"/>
      <c r="I146" s="239">
        <f>(F146+G146+H146)*$I$12</f>
        <v>1.93752405</v>
      </c>
      <c r="J146" s="12"/>
      <c r="K146" s="8"/>
      <c r="L146" s="13"/>
      <c r="M146" s="14"/>
      <c r="N146" s="23"/>
      <c r="O146" s="14"/>
      <c r="P146" s="12"/>
      <c r="Q146" s="99"/>
      <c r="R146" s="14"/>
      <c r="S146" s="99"/>
      <c r="T146" s="24">
        <f>SUM(F146:S146)</f>
        <v>7.60279905</v>
      </c>
      <c r="U146" s="23">
        <f>(F146+G146+H146)*$U$13</f>
        <v>0.8781176249999999</v>
      </c>
      <c r="V146" s="23">
        <f>(F146+G146+H146)*$V$13</f>
        <v>4.4189145</v>
      </c>
      <c r="W146" s="117">
        <f>(T146+U146+V146)*$W$12</f>
        <v>1.9349746762499997</v>
      </c>
      <c r="X146" s="23">
        <f>T146+U146+V146+W146</f>
        <v>14.83480585125</v>
      </c>
      <c r="Y146" s="175">
        <f>X146*1.18</f>
        <v>17.505070904474998</v>
      </c>
    </row>
    <row r="147" spans="1:25" ht="14.25" hidden="1">
      <c r="A147" s="8">
        <v>4</v>
      </c>
      <c r="B147" s="8" t="s">
        <v>65</v>
      </c>
      <c r="C147" s="9"/>
      <c r="D147" s="9"/>
      <c r="E147" s="14"/>
      <c r="F147" s="99"/>
      <c r="G147" s="248"/>
      <c r="H147" s="248"/>
      <c r="I147" s="85"/>
      <c r="J147" s="12"/>
      <c r="K147" s="8"/>
      <c r="L147" s="13"/>
      <c r="M147" s="14"/>
      <c r="N147" s="8"/>
      <c r="O147" s="14"/>
      <c r="P147" s="12"/>
      <c r="Q147" s="99"/>
      <c r="R147" s="14"/>
      <c r="S147" s="99"/>
      <c r="T147" s="14"/>
      <c r="U147" s="23"/>
      <c r="V147" s="8"/>
      <c r="W147" s="117"/>
      <c r="X147" s="8"/>
      <c r="Y147" s="13"/>
    </row>
    <row r="148" spans="1:25" ht="14.25" hidden="1">
      <c r="A148" s="8"/>
      <c r="B148" s="8" t="s">
        <v>66</v>
      </c>
      <c r="C148" s="9" t="s">
        <v>74</v>
      </c>
      <c r="D148" s="9"/>
      <c r="E148" s="14"/>
      <c r="F148" s="99"/>
      <c r="G148" s="248"/>
      <c r="H148" s="248"/>
      <c r="I148" s="85"/>
      <c r="J148" s="12"/>
      <c r="K148" s="8"/>
      <c r="L148" s="13"/>
      <c r="M148" s="14"/>
      <c r="N148" s="8"/>
      <c r="O148" s="14"/>
      <c r="P148" s="12"/>
      <c r="Q148" s="99"/>
      <c r="R148" s="14"/>
      <c r="S148" s="99"/>
      <c r="T148" s="14"/>
      <c r="U148" s="23"/>
      <c r="V148" s="8"/>
      <c r="W148" s="117"/>
      <c r="X148" s="8"/>
      <c r="Y148" s="13"/>
    </row>
    <row r="149" spans="1:25" ht="14.25" hidden="1">
      <c r="A149" s="8"/>
      <c r="B149" s="8" t="s">
        <v>292</v>
      </c>
      <c r="C149" s="9" t="s">
        <v>79</v>
      </c>
      <c r="D149" s="9" t="s">
        <v>128</v>
      </c>
      <c r="E149" s="14">
        <v>2.007</v>
      </c>
      <c r="F149" s="114">
        <f>SUM(($Z$8*1.142*1.5*1.15)/Z134*E149)</f>
        <v>90.24726375</v>
      </c>
      <c r="G149" s="249">
        <f>SUM(($Z$8*1.142*G137*1.15)/Z134*E149)</f>
        <v>9.024726374999998</v>
      </c>
      <c r="H149" s="249"/>
      <c r="I149" s="239">
        <f>(F149+G149+H149)*$I$12</f>
        <v>33.95102062275</v>
      </c>
      <c r="J149" s="117">
        <f>0.141*3*0.981*2.18</f>
        <v>0.9046193399999999</v>
      </c>
      <c r="K149" s="23">
        <f>0.048*48.52</f>
        <v>2.3289600000000004</v>
      </c>
      <c r="L149" s="13"/>
      <c r="M149" s="14"/>
      <c r="N149" s="8"/>
      <c r="O149" s="14"/>
      <c r="P149" s="12"/>
      <c r="Q149" s="99"/>
      <c r="R149" s="14"/>
      <c r="S149" s="99"/>
      <c r="T149" s="24">
        <f>SUM(F149:S149)</f>
        <v>136.45659008775002</v>
      </c>
      <c r="U149" s="23">
        <f>(F149+G149+H149)*$U$13</f>
        <v>15.387158469375</v>
      </c>
      <c r="V149" s="23">
        <f>(F149+G149+H149)*$V$13</f>
        <v>77.43215229750001</v>
      </c>
      <c r="W149" s="117">
        <f>(T149+U149+V149)*$W$12</f>
        <v>34.391385128193754</v>
      </c>
      <c r="X149" s="23">
        <f>T149+U149+V149+W149</f>
        <v>263.6672859828188</v>
      </c>
      <c r="Y149" s="175">
        <f>X149*1.18</f>
        <v>311.1273974597261</v>
      </c>
    </row>
    <row r="150" spans="1:25" ht="14.25" hidden="1">
      <c r="A150" s="8">
        <v>5</v>
      </c>
      <c r="B150" s="8" t="s">
        <v>65</v>
      </c>
      <c r="C150" s="9"/>
      <c r="D150" s="9"/>
      <c r="E150" s="14"/>
      <c r="F150" s="99"/>
      <c r="G150" s="248"/>
      <c r="H150" s="248"/>
      <c r="I150" s="85"/>
      <c r="J150" s="12"/>
      <c r="K150" s="8"/>
      <c r="L150" s="13"/>
      <c r="M150" s="14"/>
      <c r="N150" s="8"/>
      <c r="O150" s="14"/>
      <c r="P150" s="12"/>
      <c r="Q150" s="99"/>
      <c r="R150" s="14"/>
      <c r="S150" s="99"/>
      <c r="T150" s="14"/>
      <c r="U150" s="23"/>
      <c r="V150" s="8"/>
      <c r="W150" s="117"/>
      <c r="X150" s="8"/>
      <c r="Y150" s="13"/>
    </row>
    <row r="151" spans="1:25" ht="14.25" hidden="1">
      <c r="A151" s="8"/>
      <c r="B151" s="8" t="s">
        <v>66</v>
      </c>
      <c r="C151" s="9" t="s">
        <v>74</v>
      </c>
      <c r="D151" s="9"/>
      <c r="E151" s="14"/>
      <c r="F151" s="99"/>
      <c r="G151" s="248"/>
      <c r="H151" s="248"/>
      <c r="I151" s="85"/>
      <c r="J151" s="12"/>
      <c r="K151" s="8"/>
      <c r="L151" s="13"/>
      <c r="M151" s="14"/>
      <c r="N151" s="8"/>
      <c r="O151" s="14"/>
      <c r="P151" s="12"/>
      <c r="Q151" s="99"/>
      <c r="R151" s="14"/>
      <c r="S151" s="99"/>
      <c r="T151" s="14"/>
      <c r="U151" s="23"/>
      <c r="V151" s="8"/>
      <c r="W151" s="117"/>
      <c r="X151" s="8"/>
      <c r="Y151" s="13"/>
    </row>
    <row r="152" spans="1:25" ht="14.25" hidden="1">
      <c r="A152" s="8"/>
      <c r="B152" s="8" t="s">
        <v>293</v>
      </c>
      <c r="C152" s="9" t="s">
        <v>80</v>
      </c>
      <c r="D152" s="9" t="s">
        <v>128</v>
      </c>
      <c r="E152" s="14">
        <v>2.64</v>
      </c>
      <c r="F152" s="114">
        <f>SUM(($Z$8*1.142*1.5*1.15)/Z134*E152)</f>
        <v>118.7109</v>
      </c>
      <c r="G152" s="249">
        <f>SUM(($Z$8*1.142*G137*1.15)/Z134*E152)</f>
        <v>11.871089999999997</v>
      </c>
      <c r="H152" s="249"/>
      <c r="I152" s="239">
        <f>(F152+G152+H152)*$I$12</f>
        <v>44.65904058</v>
      </c>
      <c r="J152" s="117">
        <f>0.184*3*0.981*2.18</f>
        <v>1.1804961600000001</v>
      </c>
      <c r="K152" s="23">
        <f>0.048*48.52</f>
        <v>2.3289600000000004</v>
      </c>
      <c r="L152" s="13"/>
      <c r="M152" s="14"/>
      <c r="N152" s="8"/>
      <c r="O152" s="14"/>
      <c r="P152" s="12"/>
      <c r="Q152" s="99"/>
      <c r="R152" s="14"/>
      <c r="S152" s="99"/>
      <c r="T152" s="24">
        <f>SUM(F152:S152)</f>
        <v>178.75048673999999</v>
      </c>
      <c r="U152" s="23">
        <f>(F152+G152+H152)*$U$13</f>
        <v>20.240208449999997</v>
      </c>
      <c r="V152" s="23">
        <f>(F152+G152+H152)*$V$13</f>
        <v>101.8539522</v>
      </c>
      <c r="W152" s="117">
        <f>(T152+U152+V152)*$W$12</f>
        <v>45.1266971085</v>
      </c>
      <c r="X152" s="23">
        <f>T152+U152+V152+W152</f>
        <v>345.9713444985</v>
      </c>
      <c r="Y152" s="175">
        <f>X152*1.18</f>
        <v>408.24618650823</v>
      </c>
    </row>
    <row r="153" spans="1:25" ht="14.25" hidden="1">
      <c r="A153" s="8">
        <v>6</v>
      </c>
      <c r="B153" s="8" t="s">
        <v>65</v>
      </c>
      <c r="C153" s="9"/>
      <c r="D153" s="9"/>
      <c r="E153" s="14"/>
      <c r="F153" s="99"/>
      <c r="G153" s="248"/>
      <c r="H153" s="248"/>
      <c r="I153" s="85"/>
      <c r="J153" s="12"/>
      <c r="K153" s="8"/>
      <c r="L153" s="13"/>
      <c r="M153" s="14"/>
      <c r="N153" s="8"/>
      <c r="O153" s="14"/>
      <c r="P153" s="12"/>
      <c r="Q153" s="99"/>
      <c r="R153" s="14"/>
      <c r="S153" s="99"/>
      <c r="T153" s="14"/>
      <c r="U153" s="23"/>
      <c r="V153" s="8"/>
      <c r="W153" s="117"/>
      <c r="X153" s="8"/>
      <c r="Y153" s="13"/>
    </row>
    <row r="154" spans="1:25" ht="14.25" hidden="1">
      <c r="A154" s="8"/>
      <c r="B154" s="8" t="s">
        <v>200</v>
      </c>
      <c r="C154" s="9" t="s">
        <v>74</v>
      </c>
      <c r="D154" s="9"/>
      <c r="E154" s="14"/>
      <c r="F154" s="99"/>
      <c r="G154" s="248"/>
      <c r="H154" s="248"/>
      <c r="I154" s="85"/>
      <c r="J154" s="12"/>
      <c r="K154" s="8"/>
      <c r="L154" s="13"/>
      <c r="M154" s="14"/>
      <c r="N154" s="8"/>
      <c r="O154" s="14"/>
      <c r="P154" s="12"/>
      <c r="Q154" s="99"/>
      <c r="R154" s="14"/>
      <c r="S154" s="99"/>
      <c r="T154" s="14"/>
      <c r="U154" s="23"/>
      <c r="V154" s="8"/>
      <c r="W154" s="117"/>
      <c r="X154" s="8"/>
      <c r="Y154" s="13"/>
    </row>
    <row r="155" spans="1:25" ht="14.25" hidden="1">
      <c r="A155" s="8"/>
      <c r="B155" s="8" t="s">
        <v>294</v>
      </c>
      <c r="C155" s="9" t="s">
        <v>81</v>
      </c>
      <c r="D155" s="9" t="s">
        <v>128</v>
      </c>
      <c r="E155" s="14">
        <v>3.06</v>
      </c>
      <c r="F155" s="114">
        <f>SUM(($Z$8*1.142*1.5*1.15)/Z134*E155)</f>
        <v>137.596725</v>
      </c>
      <c r="G155" s="249">
        <f>SUM(($Z$8*1.142*G137*1.15)/Z134*E155)</f>
        <v>13.759672499999997</v>
      </c>
      <c r="H155" s="249"/>
      <c r="I155" s="239">
        <f>(F155+G155+H155)*$I$12</f>
        <v>51.763887945</v>
      </c>
      <c r="J155" s="117">
        <f>0.215*3*0.981*2.18</f>
        <v>1.3793841</v>
      </c>
      <c r="K155" s="23">
        <f>0.048*48.52</f>
        <v>2.3289600000000004</v>
      </c>
      <c r="L155" s="13"/>
      <c r="M155" s="14"/>
      <c r="N155" s="8"/>
      <c r="O155" s="14"/>
      <c r="P155" s="12"/>
      <c r="Q155" s="99"/>
      <c r="R155" s="14"/>
      <c r="S155" s="99"/>
      <c r="T155" s="24">
        <f>SUM(F155:S155)</f>
        <v>206.82862954499998</v>
      </c>
      <c r="U155" s="23">
        <f>(F155+G155+H155)*$U$13</f>
        <v>23.4602416125</v>
      </c>
      <c r="V155" s="23">
        <f>(F155+G155+H155)*$V$13</f>
        <v>118.05799004999999</v>
      </c>
      <c r="W155" s="117">
        <f>(T155+U155+V155)*$W$12</f>
        <v>52.25202918112499</v>
      </c>
      <c r="X155" s="23">
        <f>T155+U155+V155+W155</f>
        <v>400.59889038862497</v>
      </c>
      <c r="Y155" s="175">
        <f>X155*1.18</f>
        <v>472.70669065857743</v>
      </c>
    </row>
    <row r="156" spans="1:25" ht="14.25" hidden="1">
      <c r="A156" s="8">
        <v>7</v>
      </c>
      <c r="B156" s="8" t="s">
        <v>68</v>
      </c>
      <c r="C156" s="9" t="s">
        <v>74</v>
      </c>
      <c r="D156" s="9"/>
      <c r="E156" s="14"/>
      <c r="F156" s="99"/>
      <c r="G156" s="248"/>
      <c r="H156" s="248"/>
      <c r="I156" s="85"/>
      <c r="J156" s="12"/>
      <c r="K156" s="8"/>
      <c r="L156" s="13"/>
      <c r="M156" s="14"/>
      <c r="N156" s="8"/>
      <c r="O156" s="14"/>
      <c r="P156" s="12"/>
      <c r="Q156" s="99"/>
      <c r="R156" s="14"/>
      <c r="S156" s="99"/>
      <c r="T156" s="14"/>
      <c r="U156" s="23"/>
      <c r="V156" s="8"/>
      <c r="W156" s="117"/>
      <c r="X156" s="8"/>
      <c r="Y156" s="13"/>
    </row>
    <row r="157" spans="1:25" ht="14.25" hidden="1">
      <c r="A157" s="8"/>
      <c r="B157" s="8" t="s">
        <v>310</v>
      </c>
      <c r="C157" s="9" t="s">
        <v>82</v>
      </c>
      <c r="D157" s="9" t="s">
        <v>130</v>
      </c>
      <c r="E157" s="14">
        <v>1.5</v>
      </c>
      <c r="F157" s="114">
        <f>SUM(($Z$8*1.1108*1.5*1.15)/Z134*E157)</f>
        <v>65.60662499999998</v>
      </c>
      <c r="G157" s="249">
        <f>SUM(($Z$8*1.1108*G137*1.15)/Z134*E157)</f>
        <v>6.560662499999999</v>
      </c>
      <c r="H157" s="249"/>
      <c r="I157" s="239">
        <f>(F157+G157+H157)*$I$12</f>
        <v>24.681212324999997</v>
      </c>
      <c r="J157" s="12"/>
      <c r="K157" s="23">
        <f>0.004*48.52</f>
        <v>0.19408000000000003</v>
      </c>
      <c r="L157" s="175">
        <f>0.005*28.17</f>
        <v>0.14085</v>
      </c>
      <c r="M157" s="14"/>
      <c r="N157" s="8"/>
      <c r="O157" s="14"/>
      <c r="P157" s="12"/>
      <c r="Q157" s="99"/>
      <c r="R157" s="14"/>
      <c r="S157" s="99"/>
      <c r="T157" s="24">
        <f>SUM(F157:S157)</f>
        <v>97.18342982499998</v>
      </c>
      <c r="U157" s="23">
        <f>(F157+G157+H157)*$U$13</f>
        <v>11.185929562499998</v>
      </c>
      <c r="V157" s="23">
        <f>(F157+G157+H157)*$V$13</f>
        <v>56.29048424999999</v>
      </c>
      <c r="W157" s="117">
        <f>(T157+U157+V157)*$W$12</f>
        <v>24.698976545624994</v>
      </c>
      <c r="X157" s="23">
        <f>T157+U157+V157+W157</f>
        <v>189.35882018312495</v>
      </c>
      <c r="Y157" s="175">
        <f>X157*1.18</f>
        <v>223.44340781608742</v>
      </c>
    </row>
    <row r="158" spans="1:25" ht="14.25" hidden="1">
      <c r="A158" s="8">
        <v>8</v>
      </c>
      <c r="B158" s="8" t="s">
        <v>68</v>
      </c>
      <c r="C158" s="9" t="s">
        <v>74</v>
      </c>
      <c r="D158" s="9"/>
      <c r="E158" s="14"/>
      <c r="F158" s="99"/>
      <c r="G158" s="248"/>
      <c r="H158" s="248"/>
      <c r="I158" s="85"/>
      <c r="J158" s="12"/>
      <c r="K158" s="8"/>
      <c r="L158" s="13"/>
      <c r="M158" s="14"/>
      <c r="N158" s="8"/>
      <c r="O158" s="14"/>
      <c r="P158" s="12"/>
      <c r="Q158" s="99"/>
      <c r="R158" s="14"/>
      <c r="S158" s="99"/>
      <c r="T158" s="14"/>
      <c r="U158" s="23"/>
      <c r="V158" s="8"/>
      <c r="W158" s="117"/>
      <c r="X158" s="8"/>
      <c r="Y158" s="13"/>
    </row>
    <row r="159" spans="1:25" ht="14.25" hidden="1">
      <c r="A159" s="8"/>
      <c r="B159" s="8" t="s">
        <v>311</v>
      </c>
      <c r="C159" s="9" t="s">
        <v>83</v>
      </c>
      <c r="D159" s="9" t="s">
        <v>130</v>
      </c>
      <c r="E159" s="14">
        <v>1.68</v>
      </c>
      <c r="F159" s="114">
        <f>SUM(($Z$8*1.1108*1.5*1.15)/Z134*E159)</f>
        <v>73.47941999999998</v>
      </c>
      <c r="G159" s="249">
        <f>SUM(($Z$8*1.1108*G137*1.15)/Z134*E159)</f>
        <v>7.347941999999999</v>
      </c>
      <c r="H159" s="249"/>
      <c r="I159" s="239">
        <f>(F159+G159+H159)*$I$12</f>
        <v>27.642957803999995</v>
      </c>
      <c r="J159" s="12"/>
      <c r="K159" s="23">
        <f>0.004*48.52</f>
        <v>0.19408000000000003</v>
      </c>
      <c r="L159" s="175">
        <f>0.005*28.17</f>
        <v>0.14085</v>
      </c>
      <c r="M159" s="24">
        <f>0.004*39.96</f>
        <v>0.15984</v>
      </c>
      <c r="N159" s="8"/>
      <c r="O159" s="14"/>
      <c r="P159" s="12"/>
      <c r="Q159" s="99"/>
      <c r="R159" s="14"/>
      <c r="S159" s="99"/>
      <c r="T159" s="24">
        <f>SUM(F159:S159)</f>
        <v>108.96508980399997</v>
      </c>
      <c r="U159" s="23">
        <f>(F159+G159+H159)*$U$13</f>
        <v>12.528241109999996</v>
      </c>
      <c r="V159" s="23">
        <f>(F159+G159+H159)*$V$13</f>
        <v>63.045342359999985</v>
      </c>
      <c r="W159" s="117">
        <f>(T159+U159+V159)*$W$12</f>
        <v>27.680800991099993</v>
      </c>
      <c r="X159" s="23">
        <f>T159+U159+V159+W159</f>
        <v>212.21947426509996</v>
      </c>
      <c r="Y159" s="175">
        <f>X159*1.18</f>
        <v>250.41897963281795</v>
      </c>
    </row>
    <row r="160" spans="1:25" ht="14.25" hidden="1">
      <c r="A160" s="8">
        <v>9</v>
      </c>
      <c r="B160" s="8" t="s">
        <v>68</v>
      </c>
      <c r="C160" s="9"/>
      <c r="D160" s="9"/>
      <c r="E160" s="14"/>
      <c r="F160" s="99"/>
      <c r="G160" s="248"/>
      <c r="H160" s="248"/>
      <c r="I160" s="85"/>
      <c r="J160" s="12"/>
      <c r="K160" s="8"/>
      <c r="L160" s="13"/>
      <c r="M160" s="14"/>
      <c r="N160" s="8"/>
      <c r="O160" s="14"/>
      <c r="P160" s="12"/>
      <c r="Q160" s="99"/>
      <c r="R160" s="14"/>
      <c r="S160" s="99"/>
      <c r="T160" s="14"/>
      <c r="U160" s="23"/>
      <c r="V160" s="8"/>
      <c r="W160" s="117"/>
      <c r="X160" s="8"/>
      <c r="Y160" s="13"/>
    </row>
    <row r="161" spans="1:25" ht="14.25" hidden="1">
      <c r="A161" s="8"/>
      <c r="B161" s="8" t="s">
        <v>69</v>
      </c>
      <c r="C161" s="9" t="s">
        <v>74</v>
      </c>
      <c r="D161" s="9"/>
      <c r="E161" s="14"/>
      <c r="F161" s="99"/>
      <c r="G161" s="248"/>
      <c r="H161" s="248"/>
      <c r="I161" s="85"/>
      <c r="J161" s="12"/>
      <c r="K161" s="8"/>
      <c r="L161" s="13"/>
      <c r="M161" s="14"/>
      <c r="N161" s="8"/>
      <c r="O161" s="14"/>
      <c r="P161" s="12"/>
      <c r="Q161" s="99"/>
      <c r="R161" s="14"/>
      <c r="S161" s="99"/>
      <c r="T161" s="14"/>
      <c r="U161" s="23"/>
      <c r="V161" s="8"/>
      <c r="W161" s="117"/>
      <c r="X161" s="8"/>
      <c r="Y161" s="13"/>
    </row>
    <row r="162" spans="1:25" ht="14.25" hidden="1">
      <c r="A162" s="8"/>
      <c r="B162" s="8" t="s">
        <v>295</v>
      </c>
      <c r="C162" s="9" t="s">
        <v>84</v>
      </c>
      <c r="D162" s="9" t="s">
        <v>130</v>
      </c>
      <c r="E162" s="14">
        <v>0.118</v>
      </c>
      <c r="F162" s="114">
        <f>SUM(($Z$8*1.09*1.5*1.15)/Z134*E162)</f>
        <v>5.0644125</v>
      </c>
      <c r="G162" s="249">
        <f>SUM(($Z$8*1.09*G137*1.15)/Z134*E162)</f>
        <v>0.50644125</v>
      </c>
      <c r="H162" s="249"/>
      <c r="I162" s="239">
        <f>(F162+G162+H162)*$I$12</f>
        <v>1.9052319825000004</v>
      </c>
      <c r="J162" s="12"/>
      <c r="K162" s="8"/>
      <c r="L162" s="13"/>
      <c r="M162" s="14"/>
      <c r="N162" s="8"/>
      <c r="O162" s="14"/>
      <c r="P162" s="12"/>
      <c r="Q162" s="99"/>
      <c r="R162" s="14"/>
      <c r="S162" s="99"/>
      <c r="T162" s="24">
        <f>SUM(F162:S162)</f>
        <v>7.4760857325000005</v>
      </c>
      <c r="U162" s="23">
        <f>(F162+G162+H162)*$U$13</f>
        <v>0.8634823312500001</v>
      </c>
      <c r="V162" s="23">
        <f>(F162+G162+H162)*$V$13</f>
        <v>4.3452659250000005</v>
      </c>
      <c r="W162" s="117">
        <f>(T162+U162+V162)*$W$12</f>
        <v>1.9027250983125</v>
      </c>
      <c r="X162" s="23">
        <f>T162+U162+V162+W162</f>
        <v>14.5875590870625</v>
      </c>
      <c r="Y162" s="175">
        <f>X162*1.18</f>
        <v>17.21331972273375</v>
      </c>
    </row>
    <row r="163" spans="1:25" ht="14.25" hidden="1">
      <c r="A163" s="8">
        <v>10</v>
      </c>
      <c r="B163" s="8" t="s">
        <v>121</v>
      </c>
      <c r="C163" s="9" t="s">
        <v>74</v>
      </c>
      <c r="D163" s="9"/>
      <c r="E163" s="14"/>
      <c r="F163" s="99"/>
      <c r="G163" s="248"/>
      <c r="H163" s="248"/>
      <c r="I163" s="85"/>
      <c r="J163" s="12"/>
      <c r="K163" s="8"/>
      <c r="L163" s="13"/>
      <c r="M163" s="14"/>
      <c r="N163" s="8"/>
      <c r="O163" s="14"/>
      <c r="P163" s="12"/>
      <c r="Q163" s="99"/>
      <c r="R163" s="14"/>
      <c r="S163" s="99"/>
      <c r="T163" s="14"/>
      <c r="U163" s="23"/>
      <c r="V163" s="8"/>
      <c r="W163" s="117"/>
      <c r="X163" s="8"/>
      <c r="Y163" s="13"/>
    </row>
    <row r="164" spans="1:25" ht="14.25" hidden="1">
      <c r="A164" s="8"/>
      <c r="B164" s="8" t="s">
        <v>312</v>
      </c>
      <c r="C164" s="9" t="s">
        <v>85</v>
      </c>
      <c r="D164" s="9" t="s">
        <v>129</v>
      </c>
      <c r="E164" s="14">
        <v>1.068</v>
      </c>
      <c r="F164" s="114">
        <f>SUM(($Z$8*1.1368*1.5*1.15)/Z134*E164)</f>
        <v>47.805282000000005</v>
      </c>
      <c r="G164" s="249">
        <f>SUM(($Z$8*1.1368*G137*1.15)/Z134*E164)</f>
        <v>4.7805282</v>
      </c>
      <c r="H164" s="249"/>
      <c r="I164" s="239">
        <f>(F164+G164+H164)*$I$12</f>
        <v>17.984347088400003</v>
      </c>
      <c r="J164" s="12"/>
      <c r="K164" s="8"/>
      <c r="L164" s="13"/>
      <c r="M164" s="24">
        <f>0.08*39.96</f>
        <v>3.1968</v>
      </c>
      <c r="N164" s="8"/>
      <c r="O164" s="14"/>
      <c r="P164" s="12"/>
      <c r="Q164" s="99"/>
      <c r="R164" s="14"/>
      <c r="S164" s="99"/>
      <c r="T164" s="24">
        <f>SUM(F164:S164)</f>
        <v>73.76695728840001</v>
      </c>
      <c r="U164" s="23">
        <f>(F164+G164+H164)*$U$13</f>
        <v>8.150800581</v>
      </c>
      <c r="V164" s="23">
        <f>(F164+G164+H164)*$V$13</f>
        <v>41.01693195600001</v>
      </c>
      <c r="W164" s="117">
        <f>(T164+U164+V164)*$W$12</f>
        <v>18.44020347381</v>
      </c>
      <c r="X164" s="23">
        <f>T164+U164+V164+W164</f>
        <v>141.37489329921002</v>
      </c>
      <c r="Y164" s="175">
        <f>X164*1.18</f>
        <v>166.82237409306782</v>
      </c>
    </row>
    <row r="165" spans="1:25" ht="14.25" hidden="1">
      <c r="A165" s="118">
        <v>11</v>
      </c>
      <c r="B165" s="118" t="s">
        <v>315</v>
      </c>
      <c r="C165" s="124" t="s">
        <v>86</v>
      </c>
      <c r="D165" s="119" t="s">
        <v>129</v>
      </c>
      <c r="E165" s="123">
        <v>0.73</v>
      </c>
      <c r="F165" s="114">
        <f>SUM(($Z$8*1.1368*1.5*1.15)/Z134*E165)</f>
        <v>32.675895000000004</v>
      </c>
      <c r="G165" s="249">
        <f>SUM(($Z$8*1.1368*G137*1.15)/Z134*E165)</f>
        <v>3.2675894999999997</v>
      </c>
      <c r="H165" s="250"/>
      <c r="I165" s="238">
        <f>(F165+G165+H165)*$I$12</f>
        <v>12.292671699000003</v>
      </c>
      <c r="J165" s="122"/>
      <c r="K165" s="118"/>
      <c r="L165" s="176"/>
      <c r="M165" s="121">
        <f>0.04*39.96</f>
        <v>1.5984</v>
      </c>
      <c r="N165" s="118"/>
      <c r="O165" s="123"/>
      <c r="P165" s="122"/>
      <c r="Q165" s="236"/>
      <c r="R165" s="123"/>
      <c r="S165" s="236"/>
      <c r="T165" s="121">
        <f>SUM(F165:S165)</f>
        <v>49.834556199000005</v>
      </c>
      <c r="U165" s="23">
        <f>(F165+G165+H165)*$U$13</f>
        <v>5.5712400975000005</v>
      </c>
      <c r="V165" s="23">
        <f>(F165+G165+H165)*$V$13</f>
        <v>28.035917910000006</v>
      </c>
      <c r="W165" s="117">
        <f>(T165+U165+V165)*$W$12</f>
        <v>12.516257130975001</v>
      </c>
      <c r="X165" s="120">
        <f>T165+U165+V165+W165</f>
        <v>95.95797133747502</v>
      </c>
      <c r="Y165" s="177">
        <f>X165*1.18</f>
        <v>113.2304061782205</v>
      </c>
    </row>
    <row r="166" spans="1:25" ht="14.25" hidden="1">
      <c r="A166" s="8">
        <v>12</v>
      </c>
      <c r="B166" s="8" t="s">
        <v>313</v>
      </c>
      <c r="C166" s="9" t="s">
        <v>87</v>
      </c>
      <c r="D166" s="9" t="s">
        <v>129</v>
      </c>
      <c r="E166" s="14">
        <v>0.97</v>
      </c>
      <c r="F166" s="114">
        <f>SUM(($Z$8*1.268*1.5*1.15)/Z134*E166)</f>
        <v>48.429674999999996</v>
      </c>
      <c r="G166" s="249">
        <f>SUM(($Z$8*1.268*G137*1.15)/Z134*E166)</f>
        <v>4.8429675</v>
      </c>
      <c r="H166" s="250"/>
      <c r="I166" s="239">
        <f>(F166+G166+H166)*$I$12</f>
        <v>18.219243735</v>
      </c>
      <c r="J166" s="12"/>
      <c r="K166" s="8"/>
      <c r="L166" s="13"/>
      <c r="M166" s="14"/>
      <c r="N166" s="8"/>
      <c r="O166" s="14"/>
      <c r="P166" s="12"/>
      <c r="Q166" s="99"/>
      <c r="R166" s="14"/>
      <c r="S166" s="99"/>
      <c r="T166" s="24">
        <f>SUM(F166:S166)</f>
        <v>71.491886235</v>
      </c>
      <c r="U166" s="23">
        <f>(F166+G166+H166)*$U$13</f>
        <v>8.2572595875</v>
      </c>
      <c r="V166" s="23">
        <f>(F166+G166+H166)*$V$13</f>
        <v>41.55266115</v>
      </c>
      <c r="W166" s="117">
        <f>(T166+U166+V166)*$W$12</f>
        <v>18.195271045875</v>
      </c>
      <c r="X166" s="23">
        <f>T166+U166+V166+W166</f>
        <v>139.497078018375</v>
      </c>
      <c r="Y166" s="175">
        <f>X166*1.18</f>
        <v>164.6065520616825</v>
      </c>
    </row>
    <row r="167" spans="1:25" ht="14.25" hidden="1">
      <c r="A167" s="8">
        <v>13</v>
      </c>
      <c r="B167" s="8" t="s">
        <v>139</v>
      </c>
      <c r="C167" s="9" t="s">
        <v>74</v>
      </c>
      <c r="D167" s="9"/>
      <c r="E167" s="14"/>
      <c r="F167" s="99"/>
      <c r="G167" s="248"/>
      <c r="H167" s="248"/>
      <c r="I167" s="85"/>
      <c r="J167" s="12"/>
      <c r="K167" s="8"/>
      <c r="L167" s="13"/>
      <c r="M167" s="14"/>
      <c r="N167" s="8"/>
      <c r="O167" s="14"/>
      <c r="P167" s="12"/>
      <c r="Q167" s="99"/>
      <c r="R167" s="14"/>
      <c r="S167" s="99"/>
      <c r="T167" s="14"/>
      <c r="U167" s="23"/>
      <c r="V167" s="8"/>
      <c r="W167" s="117"/>
      <c r="X167" s="8"/>
      <c r="Y167" s="13"/>
    </row>
    <row r="168" spans="1:25" ht="16.5" hidden="1">
      <c r="A168" s="8"/>
      <c r="B168" s="8" t="s">
        <v>314</v>
      </c>
      <c r="C168" s="9" t="s">
        <v>88</v>
      </c>
      <c r="D168" s="9" t="s">
        <v>199</v>
      </c>
      <c r="E168" s="14">
        <v>1.25</v>
      </c>
      <c r="F168" s="114">
        <f>SUM(($Z$8*1.0952*1.5*1.15)/Z134*E168)</f>
        <v>53.90437499999999</v>
      </c>
      <c r="G168" s="249">
        <f>SUM(($Z$8*1.0952*G137*1.15)/Z134*E168)</f>
        <v>5.390437499999999</v>
      </c>
      <c r="H168" s="250"/>
      <c r="I168" s="239">
        <f>(F168+G168+H168)*$I$12</f>
        <v>20.278825874999995</v>
      </c>
      <c r="J168" s="12"/>
      <c r="K168" s="8"/>
      <c r="L168" s="175">
        <f>0.24*28.17</f>
        <v>6.760800000000001</v>
      </c>
      <c r="M168" s="14"/>
      <c r="N168" s="8"/>
      <c r="O168" s="14"/>
      <c r="P168" s="12"/>
      <c r="Q168" s="99"/>
      <c r="R168" s="14"/>
      <c r="S168" s="99"/>
      <c r="T168" s="24">
        <f>SUM(F168:S168)</f>
        <v>86.33443837499998</v>
      </c>
      <c r="U168" s="23">
        <f>(F168+G168+H168)*$U$13</f>
        <v>9.190695937499997</v>
      </c>
      <c r="V168" s="23">
        <f>(F168+G168+H168)*$V$13</f>
        <v>46.24995374999999</v>
      </c>
      <c r="W168" s="117">
        <f>(T168+U168+V168)*$W$12</f>
        <v>21.26626320937499</v>
      </c>
      <c r="X168" s="23">
        <f>T168+U168+V168+W168</f>
        <v>163.04135127187493</v>
      </c>
      <c r="Y168" s="175">
        <f>X168*1.18</f>
        <v>192.3887945008124</v>
      </c>
    </row>
    <row r="169" spans="1:25" ht="14.25" hidden="1">
      <c r="A169" s="8">
        <v>14</v>
      </c>
      <c r="B169" s="8" t="s">
        <v>131</v>
      </c>
      <c r="C169" s="9" t="s">
        <v>74</v>
      </c>
      <c r="D169" s="9"/>
      <c r="E169" s="14"/>
      <c r="F169" s="114"/>
      <c r="G169" s="249"/>
      <c r="H169" s="248"/>
      <c r="I169" s="85"/>
      <c r="J169" s="12"/>
      <c r="K169" s="8"/>
      <c r="L169" s="13"/>
      <c r="M169" s="14"/>
      <c r="N169" s="8"/>
      <c r="O169" s="14"/>
      <c r="P169" s="12"/>
      <c r="Q169" s="99"/>
      <c r="R169" s="14"/>
      <c r="S169" s="99"/>
      <c r="T169" s="14"/>
      <c r="U169" s="23"/>
      <c r="V169" s="8"/>
      <c r="W169" s="117"/>
      <c r="X169" s="8"/>
      <c r="Y169" s="13"/>
    </row>
    <row r="170" spans="1:25" ht="16.5" hidden="1">
      <c r="A170" s="8"/>
      <c r="B170" s="8" t="s">
        <v>316</v>
      </c>
      <c r="C170" s="9" t="s">
        <v>89</v>
      </c>
      <c r="D170" s="9" t="s">
        <v>199</v>
      </c>
      <c r="E170" s="14">
        <v>0.585</v>
      </c>
      <c r="F170" s="114">
        <f>SUM(($Z$8*1.09*1.5*1.15)/Z134*E170)</f>
        <v>25.10746875</v>
      </c>
      <c r="G170" s="249">
        <f>SUM(($Z$8*1.09*G137*1.15)/Z134*E170)</f>
        <v>2.5107468749999997</v>
      </c>
      <c r="H170" s="250"/>
      <c r="I170" s="239">
        <f>(F170+G170+H170)*$I$12</f>
        <v>9.44542974375</v>
      </c>
      <c r="J170" s="12"/>
      <c r="K170" s="8"/>
      <c r="L170" s="175">
        <f>0.01*28.17</f>
        <v>0.2817</v>
      </c>
      <c r="M170" s="14"/>
      <c r="N170" s="8"/>
      <c r="O170" s="14"/>
      <c r="P170" s="12"/>
      <c r="Q170" s="99"/>
      <c r="R170" s="14"/>
      <c r="S170" s="99"/>
      <c r="T170" s="24">
        <f>SUM(F170:S170)</f>
        <v>37.345345368749996</v>
      </c>
      <c r="U170" s="23">
        <f>(F170+G170+H170)*$U$13</f>
        <v>4.280823421875</v>
      </c>
      <c r="V170" s="23">
        <f>(F170+G170+H170)*$V$13</f>
        <v>21.542208187499998</v>
      </c>
      <c r="W170" s="117">
        <f>(T170+U170+V170)*$W$12</f>
        <v>9.475256546718748</v>
      </c>
      <c r="X170" s="23">
        <f>T170+U170+V170+W170</f>
        <v>72.64363352484375</v>
      </c>
      <c r="Y170" s="175">
        <f>X170*1.18</f>
        <v>85.71948755931562</v>
      </c>
    </row>
    <row r="171" spans="1:25" ht="14.25" hidden="1">
      <c r="A171" s="8">
        <v>15</v>
      </c>
      <c r="B171" s="8" t="s">
        <v>140</v>
      </c>
      <c r="C171" s="9" t="s">
        <v>74</v>
      </c>
      <c r="D171" s="9"/>
      <c r="E171" s="14"/>
      <c r="F171" s="99"/>
      <c r="G171" s="248"/>
      <c r="H171" s="248"/>
      <c r="I171" s="85"/>
      <c r="J171" s="12"/>
      <c r="K171" s="8"/>
      <c r="L171" s="13"/>
      <c r="M171" s="14"/>
      <c r="N171" s="8"/>
      <c r="O171" s="14"/>
      <c r="P171" s="12"/>
      <c r="Q171" s="99"/>
      <c r="R171" s="14"/>
      <c r="S171" s="99"/>
      <c r="T171" s="14"/>
      <c r="U171" s="23"/>
      <c r="V171" s="8"/>
      <c r="W171" s="117"/>
      <c r="X171" s="8"/>
      <c r="Y171" s="13"/>
    </row>
    <row r="172" spans="1:25" ht="14.25" hidden="1">
      <c r="A172" s="8"/>
      <c r="B172" s="8" t="s">
        <v>317</v>
      </c>
      <c r="C172" s="9" t="s">
        <v>90</v>
      </c>
      <c r="D172" s="9" t="s">
        <v>141</v>
      </c>
      <c r="E172" s="14">
        <v>0.762</v>
      </c>
      <c r="F172" s="114">
        <f>SUM(($Z$8*1.09*1.5*1.15)/Z134*E172)</f>
        <v>32.7040875</v>
      </c>
      <c r="G172" s="249">
        <f>SUM(($Z$8*1.09*G137*1.15)/Z134*E172)</f>
        <v>3.27040875</v>
      </c>
      <c r="H172" s="250"/>
      <c r="I172" s="239">
        <f>(F172+G172+H172)*$I$12</f>
        <v>12.303277717500002</v>
      </c>
      <c r="J172" s="12"/>
      <c r="K172" s="8"/>
      <c r="L172" s="175">
        <f>0.03*28.17</f>
        <v>0.8451000000000001</v>
      </c>
      <c r="M172" s="14"/>
      <c r="N172" s="8"/>
      <c r="O172" s="14"/>
      <c r="P172" s="12"/>
      <c r="Q172" s="99"/>
      <c r="R172" s="14"/>
      <c r="S172" s="99"/>
      <c r="T172" s="24">
        <f>SUM(F172:S172)</f>
        <v>49.122873967500006</v>
      </c>
      <c r="U172" s="23">
        <f>(F172+G172+H172)*$U$13</f>
        <v>5.57604691875</v>
      </c>
      <c r="V172" s="23">
        <f>(F172+G172+H172)*$V$13</f>
        <v>28.060107075</v>
      </c>
      <c r="W172" s="117">
        <f>(T172+U172+V172)*$W$12</f>
        <v>12.413854194187502</v>
      </c>
      <c r="X172" s="23">
        <f>T172+U172+V172+W172</f>
        <v>95.17288215543752</v>
      </c>
      <c r="Y172" s="175">
        <f>X172*1.18</f>
        <v>112.30400094341627</v>
      </c>
    </row>
    <row r="173" spans="1:25" ht="14.25" hidden="1">
      <c r="A173" s="8">
        <v>16</v>
      </c>
      <c r="B173" s="8" t="s">
        <v>38</v>
      </c>
      <c r="C173" s="9" t="s">
        <v>74</v>
      </c>
      <c r="D173" s="9"/>
      <c r="E173" s="14"/>
      <c r="F173" s="114"/>
      <c r="G173" s="249"/>
      <c r="H173" s="249"/>
      <c r="I173" s="239"/>
      <c r="J173" s="12"/>
      <c r="K173" s="8"/>
      <c r="L173" s="13"/>
      <c r="M173" s="14"/>
      <c r="N173" s="8"/>
      <c r="O173" s="14"/>
      <c r="P173" s="12"/>
      <c r="Q173" s="99"/>
      <c r="R173" s="14"/>
      <c r="S173" s="99"/>
      <c r="T173" s="24"/>
      <c r="U173" s="23"/>
      <c r="V173" s="23"/>
      <c r="W173" s="117"/>
      <c r="X173" s="23"/>
      <c r="Y173" s="175"/>
    </row>
    <row r="174" spans="1:25" ht="16.5" hidden="1">
      <c r="A174" s="8"/>
      <c r="B174" s="8" t="s">
        <v>318</v>
      </c>
      <c r="C174" s="9" t="s">
        <v>91</v>
      </c>
      <c r="D174" s="9" t="s">
        <v>199</v>
      </c>
      <c r="E174" s="26">
        <f>1.781/10</f>
        <v>0.17809999999999998</v>
      </c>
      <c r="F174" s="180">
        <f>SUM(($Z$8*1.08*1.065*1.5*1.15)/Z134*E174)</f>
        <v>8.065993162499998</v>
      </c>
      <c r="G174" s="250">
        <f>SUM(($Z$8*1.08*1.065*G137*1.15)/Z134*E174)</f>
        <v>0.8065993162499998</v>
      </c>
      <c r="H174" s="250"/>
      <c r="I174" s="239">
        <f>(F174+G174+H174)*$I$12</f>
        <v>3.034426627732499</v>
      </c>
      <c r="J174" s="12"/>
      <c r="K174" s="8"/>
      <c r="L174" s="13"/>
      <c r="M174" s="14"/>
      <c r="N174" s="8"/>
      <c r="O174" s="14"/>
      <c r="P174" s="12"/>
      <c r="Q174" s="99"/>
      <c r="R174" s="14"/>
      <c r="S174" s="99"/>
      <c r="T174" s="24">
        <f>SUM(F174:S174)</f>
        <v>11.907019106482496</v>
      </c>
      <c r="U174" s="23">
        <f>(F174+G174+H174)*$U$13</f>
        <v>1.3752518342062496</v>
      </c>
      <c r="V174" s="23">
        <f>(F174+G174+H174)*$V$13</f>
        <v>6.920622133424998</v>
      </c>
      <c r="W174" s="117">
        <f>(T174+U174+V174)*$W$12</f>
        <v>3.0304339611170614</v>
      </c>
      <c r="X174" s="23">
        <f>T174+U174+V174+W174</f>
        <v>23.233327035230804</v>
      </c>
      <c r="Y174" s="175">
        <f>X174*1.18</f>
        <v>27.41532590157235</v>
      </c>
    </row>
    <row r="175" spans="1:25" ht="14.25" hidden="1">
      <c r="A175" s="8">
        <v>17</v>
      </c>
      <c r="B175" s="8" t="s">
        <v>39</v>
      </c>
      <c r="C175" s="9"/>
      <c r="D175" s="9"/>
      <c r="E175" s="14"/>
      <c r="F175" s="114"/>
      <c r="G175" s="249"/>
      <c r="H175" s="249"/>
      <c r="I175" s="239"/>
      <c r="J175" s="12"/>
      <c r="K175" s="8"/>
      <c r="L175" s="13"/>
      <c r="M175" s="14"/>
      <c r="N175" s="8"/>
      <c r="O175" s="14"/>
      <c r="P175" s="12"/>
      <c r="Q175" s="99"/>
      <c r="R175" s="14"/>
      <c r="S175" s="99"/>
      <c r="T175" s="24"/>
      <c r="U175" s="23"/>
      <c r="V175" s="23"/>
      <c r="W175" s="117"/>
      <c r="X175" s="23"/>
      <c r="Y175" s="175"/>
    </row>
    <row r="176" spans="1:25" ht="14.25" hidden="1">
      <c r="A176" s="8"/>
      <c r="B176" s="8" t="s">
        <v>286</v>
      </c>
      <c r="C176" s="9" t="s">
        <v>74</v>
      </c>
      <c r="D176" s="9"/>
      <c r="E176" s="14"/>
      <c r="F176" s="114"/>
      <c r="G176" s="249"/>
      <c r="H176" s="249"/>
      <c r="I176" s="239"/>
      <c r="J176" s="12"/>
      <c r="K176" s="8"/>
      <c r="L176" s="13"/>
      <c r="M176" s="14"/>
      <c r="N176" s="8"/>
      <c r="O176" s="14"/>
      <c r="P176" s="12"/>
      <c r="Q176" s="99"/>
      <c r="R176" s="14"/>
      <c r="S176" s="99"/>
      <c r="T176" s="24"/>
      <c r="U176" s="23"/>
      <c r="V176" s="23"/>
      <c r="W176" s="117"/>
      <c r="X176" s="23"/>
      <c r="Y176" s="175"/>
    </row>
    <row r="177" spans="1:25" ht="16.5" hidden="1">
      <c r="A177" s="8"/>
      <c r="B177" s="8" t="s">
        <v>319</v>
      </c>
      <c r="C177" s="9" t="s">
        <v>92</v>
      </c>
      <c r="D177" s="9" t="s">
        <v>199</v>
      </c>
      <c r="E177" s="14">
        <f>1.04/10</f>
        <v>0.10400000000000001</v>
      </c>
      <c r="F177" s="180">
        <f>SUM(($Z$8*1.08*1.075*1.5*1.15)/Z134*E177)</f>
        <v>4.754295</v>
      </c>
      <c r="G177" s="250">
        <f>SUM(($Z$8*1.08*1.075*G137*1.15)/Z134*E177)</f>
        <v>0.47542949999999995</v>
      </c>
      <c r="H177" s="250"/>
      <c r="I177" s="239">
        <f>(F177+G177+H177)*$I$12</f>
        <v>1.788565779</v>
      </c>
      <c r="J177" s="12"/>
      <c r="K177" s="8"/>
      <c r="L177" s="13"/>
      <c r="M177" s="14"/>
      <c r="N177" s="8"/>
      <c r="O177" s="14"/>
      <c r="P177" s="12"/>
      <c r="Q177" s="99"/>
      <c r="R177" s="14"/>
      <c r="S177" s="99"/>
      <c r="T177" s="24">
        <f>SUM(F177:S177)</f>
        <v>7.0182902789999995</v>
      </c>
      <c r="U177" s="23">
        <f>(F177+G177+H177)*$U$13</f>
        <v>0.8106072974999999</v>
      </c>
      <c r="V177" s="23">
        <f>(F177+G177+H177)*$V$13</f>
        <v>4.07918511</v>
      </c>
      <c r="W177" s="117">
        <f>(T177+U177+V177)*$W$12</f>
        <v>1.7862124029749997</v>
      </c>
      <c r="X177" s="23">
        <f>T177+U177+V177+W177</f>
        <v>13.694295089474998</v>
      </c>
      <c r="Y177" s="175">
        <f>X177*1.18</f>
        <v>16.159268205580496</v>
      </c>
    </row>
    <row r="178" spans="1:25" ht="14.25" hidden="1">
      <c r="A178" s="8">
        <v>18</v>
      </c>
      <c r="B178" s="8" t="s">
        <v>38</v>
      </c>
      <c r="C178" s="9" t="s">
        <v>74</v>
      </c>
      <c r="D178" s="11"/>
      <c r="E178" s="14"/>
      <c r="F178" s="114"/>
      <c r="G178" s="249"/>
      <c r="H178" s="249"/>
      <c r="I178" s="239"/>
      <c r="J178" s="12"/>
      <c r="K178" s="8"/>
      <c r="L178" s="13"/>
      <c r="M178" s="14"/>
      <c r="N178" s="8"/>
      <c r="O178" s="14"/>
      <c r="P178" s="12"/>
      <c r="Q178" s="99"/>
      <c r="R178" s="14"/>
      <c r="S178" s="99"/>
      <c r="T178" s="24"/>
      <c r="U178" s="23"/>
      <c r="V178" s="23"/>
      <c r="W178" s="117"/>
      <c r="X178" s="23"/>
      <c r="Y178" s="175"/>
    </row>
    <row r="179" spans="1:25" ht="16.5" hidden="1">
      <c r="A179" s="8"/>
      <c r="B179" s="8" t="s">
        <v>320</v>
      </c>
      <c r="C179" s="10" t="s">
        <v>93</v>
      </c>
      <c r="D179" s="11" t="s">
        <v>199</v>
      </c>
      <c r="E179" s="26">
        <f>2.028/10</f>
        <v>0.2028</v>
      </c>
      <c r="F179" s="180">
        <f>SUM(($Z$8*1.08*1.065*1.5*1.15)/Z134*E179)</f>
        <v>9.18463455</v>
      </c>
      <c r="G179" s="250">
        <f>SUM(($Z$8*1.08*1.065*G137*1.15)/Z134*E179)</f>
        <v>0.9184634549999999</v>
      </c>
      <c r="H179" s="250"/>
      <c r="I179" s="239">
        <f>(F179+G179+H179)*$I$12</f>
        <v>3.45525951771</v>
      </c>
      <c r="J179" s="14"/>
      <c r="K179" s="14"/>
      <c r="L179" s="14"/>
      <c r="M179" s="14"/>
      <c r="N179" s="14"/>
      <c r="O179" s="14"/>
      <c r="P179" s="14"/>
      <c r="Q179" s="85"/>
      <c r="R179" s="14"/>
      <c r="S179" s="85"/>
      <c r="T179" s="24">
        <f>SUM(F179:S179)</f>
        <v>13.55835752271</v>
      </c>
      <c r="U179" s="23">
        <f>(F179+G179+H179)*$U$13</f>
        <v>1.565980190775</v>
      </c>
      <c r="V179" s="23">
        <f>(F179+G179+H179)*$V$13</f>
        <v>7.8804164439</v>
      </c>
      <c r="W179" s="117">
        <f>(T179+U179+V179)*$W$12</f>
        <v>3.45071312360775</v>
      </c>
      <c r="X179" s="23">
        <f>T179+U179+V179+W179</f>
        <v>26.45546728099275</v>
      </c>
      <c r="Y179" s="175">
        <f>X179*1.18</f>
        <v>31.217451391571444</v>
      </c>
    </row>
    <row r="180" spans="1:25" ht="14.25" hidden="1">
      <c r="A180" s="8">
        <v>19</v>
      </c>
      <c r="B180" s="8" t="s">
        <v>39</v>
      </c>
      <c r="C180" s="9"/>
      <c r="D180" s="9"/>
      <c r="E180" s="14"/>
      <c r="F180" s="114"/>
      <c r="G180" s="249"/>
      <c r="H180" s="249"/>
      <c r="I180" s="239"/>
      <c r="J180" s="12"/>
      <c r="K180" s="8"/>
      <c r="L180" s="13"/>
      <c r="M180" s="14"/>
      <c r="N180" s="8"/>
      <c r="O180" s="14"/>
      <c r="P180" s="12"/>
      <c r="Q180" s="99"/>
      <c r="R180" s="14"/>
      <c r="S180" s="99"/>
      <c r="T180" s="24"/>
      <c r="U180" s="23"/>
      <c r="V180" s="23"/>
      <c r="W180" s="117"/>
      <c r="X180" s="23"/>
      <c r="Y180" s="175"/>
    </row>
    <row r="181" spans="1:25" ht="14.25" hidden="1">
      <c r="A181" s="8"/>
      <c r="B181" s="8" t="s">
        <v>40</v>
      </c>
      <c r="C181" s="9" t="s">
        <v>74</v>
      </c>
      <c r="D181" s="11"/>
      <c r="E181" s="14"/>
      <c r="F181" s="114"/>
      <c r="G181" s="249"/>
      <c r="H181" s="249"/>
      <c r="I181" s="239"/>
      <c r="J181" s="12"/>
      <c r="K181" s="8"/>
      <c r="L181" s="13"/>
      <c r="M181" s="14"/>
      <c r="N181" s="8"/>
      <c r="O181" s="14"/>
      <c r="P181" s="12"/>
      <c r="Q181" s="99"/>
      <c r="R181" s="14"/>
      <c r="S181" s="99"/>
      <c r="T181" s="24"/>
      <c r="U181" s="23"/>
      <c r="V181" s="23"/>
      <c r="W181" s="117"/>
      <c r="X181" s="23"/>
      <c r="Y181" s="175"/>
    </row>
    <row r="182" spans="1:25" ht="16.5" hidden="1">
      <c r="A182" s="8"/>
      <c r="B182" s="8" t="s">
        <v>321</v>
      </c>
      <c r="C182" s="10" t="s">
        <v>94</v>
      </c>
      <c r="D182" s="11" t="s">
        <v>199</v>
      </c>
      <c r="E182" s="14">
        <f>1.18/10</f>
        <v>0.118</v>
      </c>
      <c r="F182" s="180">
        <f>SUM(($Z$8*1.08*1.065*1.5*1.15)/Z134*E182)</f>
        <v>5.3441167499999995</v>
      </c>
      <c r="G182" s="250">
        <f>SUM(($Z$8*1.08*1.065*G137*1.15)/Z134*E182)</f>
        <v>0.534411675</v>
      </c>
      <c r="H182" s="238"/>
      <c r="I182" s="239">
        <f>(F182+G182+H182)*$I$12</f>
        <v>2.01045672135</v>
      </c>
      <c r="J182" s="14"/>
      <c r="K182" s="14"/>
      <c r="L182" s="14"/>
      <c r="M182" s="14"/>
      <c r="N182" s="14"/>
      <c r="O182" s="14"/>
      <c r="P182" s="14"/>
      <c r="Q182" s="85"/>
      <c r="R182" s="14"/>
      <c r="S182" s="85"/>
      <c r="T182" s="24">
        <f>SUM(F182:S182)</f>
        <v>7.8889851463500005</v>
      </c>
      <c r="U182" s="23">
        <f>(F182+G182+H182)*$U$13</f>
        <v>0.911171905875</v>
      </c>
      <c r="V182" s="23">
        <f>(F182+G182+H182)*$V$13</f>
        <v>4.5852521715</v>
      </c>
      <c r="W182" s="117">
        <f>(T182+U182+V182)*$W$12</f>
        <v>2.00781138355875</v>
      </c>
      <c r="X182" s="23">
        <f>T182+U182+V182+W182</f>
        <v>15.393220607283748</v>
      </c>
      <c r="Y182" s="175">
        <f>X182*1.18</f>
        <v>18.164000316594823</v>
      </c>
    </row>
    <row r="183" spans="1:25" ht="14.25" hidden="1">
      <c r="A183" s="8">
        <v>20</v>
      </c>
      <c r="B183" s="8" t="s">
        <v>41</v>
      </c>
      <c r="C183" s="9"/>
      <c r="D183" s="11"/>
      <c r="E183" s="14"/>
      <c r="F183" s="114"/>
      <c r="G183" s="249"/>
      <c r="H183" s="249"/>
      <c r="I183" s="239"/>
      <c r="J183" s="12"/>
      <c r="K183" s="8"/>
      <c r="L183" s="13"/>
      <c r="M183" s="14"/>
      <c r="N183" s="8"/>
      <c r="O183" s="14"/>
      <c r="P183" s="12"/>
      <c r="Q183" s="99"/>
      <c r="R183" s="14"/>
      <c r="S183" s="99"/>
      <c r="T183" s="24"/>
      <c r="U183" s="23"/>
      <c r="V183" s="23"/>
      <c r="W183" s="117"/>
      <c r="X183" s="23"/>
      <c r="Y183" s="175"/>
    </row>
    <row r="184" spans="1:25" ht="14.25" hidden="1">
      <c r="A184" s="8"/>
      <c r="B184" s="8" t="s">
        <v>42</v>
      </c>
      <c r="C184" s="9"/>
      <c r="D184" s="11"/>
      <c r="E184" s="14"/>
      <c r="F184" s="114"/>
      <c r="G184" s="249"/>
      <c r="H184" s="249"/>
      <c r="I184" s="239"/>
      <c r="J184" s="12"/>
      <c r="K184" s="8"/>
      <c r="L184" s="13"/>
      <c r="M184" s="14"/>
      <c r="N184" s="8"/>
      <c r="O184" s="14"/>
      <c r="P184" s="12"/>
      <c r="Q184" s="99"/>
      <c r="R184" s="14"/>
      <c r="S184" s="99"/>
      <c r="T184" s="24"/>
      <c r="U184" s="23"/>
      <c r="V184" s="23"/>
      <c r="W184" s="117"/>
      <c r="X184" s="23"/>
      <c r="Y184" s="175"/>
    </row>
    <row r="185" spans="1:25" ht="14.25" hidden="1">
      <c r="A185" s="8"/>
      <c r="B185" s="8" t="s">
        <v>44</v>
      </c>
      <c r="C185" s="9" t="s">
        <v>74</v>
      </c>
      <c r="D185" s="8"/>
      <c r="E185" s="14"/>
      <c r="F185" s="99"/>
      <c r="G185" s="248"/>
      <c r="H185" s="248"/>
      <c r="I185" s="85"/>
      <c r="J185" s="12"/>
      <c r="K185" s="8"/>
      <c r="L185" s="13"/>
      <c r="M185" s="14"/>
      <c r="N185" s="8"/>
      <c r="O185" s="14"/>
      <c r="P185" s="12"/>
      <c r="Q185" s="99"/>
      <c r="R185" s="14"/>
      <c r="S185" s="99"/>
      <c r="T185" s="14"/>
      <c r="U185" s="23"/>
      <c r="V185" s="8"/>
      <c r="W185" s="117"/>
      <c r="X185" s="8"/>
      <c r="Y185" s="13"/>
    </row>
    <row r="186" spans="1:25" ht="16.5" hidden="1">
      <c r="A186" s="8"/>
      <c r="B186" s="8" t="s">
        <v>322</v>
      </c>
      <c r="C186" s="9" t="s">
        <v>95</v>
      </c>
      <c r="D186" s="11" t="s">
        <v>199</v>
      </c>
      <c r="E186" s="14">
        <f>4.19/10</f>
        <v>0.41900000000000004</v>
      </c>
      <c r="F186" s="180">
        <f>SUM(($Z$8*1.08*1.0952*1.5*1.15)/Z134*E186)</f>
        <v>19.51424622</v>
      </c>
      <c r="G186" s="250">
        <f>SUM(($Z$8*1.08*1.0952*G137)/Z134*E186)</f>
        <v>1.6968909756521742</v>
      </c>
      <c r="H186" s="250"/>
      <c r="I186" s="239">
        <f>(F186+G186+H186)*$I$12</f>
        <v>7.254208920913044</v>
      </c>
      <c r="J186" s="12"/>
      <c r="K186" s="8"/>
      <c r="L186" s="13"/>
      <c r="M186" s="14"/>
      <c r="N186" s="8"/>
      <c r="O186" s="24">
        <f>0.11/10*109.2</f>
        <v>1.2012</v>
      </c>
      <c r="P186" s="117">
        <f>3.37/10*22</f>
        <v>7.414000000000001</v>
      </c>
      <c r="Q186" s="114">
        <f>0.2/10*50</f>
        <v>1</v>
      </c>
      <c r="R186" s="24"/>
      <c r="S186" s="114"/>
      <c r="T186" s="24">
        <f>SUM(F186:S186)</f>
        <v>38.080546116565216</v>
      </c>
      <c r="U186" s="23">
        <f>(F186+G186+H186)*$U$13</f>
        <v>3.287726265326087</v>
      </c>
      <c r="V186" s="23">
        <f>(F186+G186+H186)*$V$13</f>
        <v>16.544687012608698</v>
      </c>
      <c r="W186" s="117">
        <f>(T186+U186+V186)*$W$12</f>
        <v>8.686943909175</v>
      </c>
      <c r="X186" s="23">
        <f>T186+U186+V186+W186</f>
        <v>66.599903303675</v>
      </c>
      <c r="Y186" s="175">
        <f>X186*1.18</f>
        <v>78.58788589833651</v>
      </c>
    </row>
    <row r="187" spans="1:25" ht="16.5" hidden="1">
      <c r="A187" s="8">
        <v>21</v>
      </c>
      <c r="B187" s="8" t="s">
        <v>53</v>
      </c>
      <c r="C187" s="9" t="s">
        <v>96</v>
      </c>
      <c r="D187" s="11" t="s">
        <v>199</v>
      </c>
      <c r="E187" s="26">
        <f>2.489/10</f>
        <v>0.24889999999999998</v>
      </c>
      <c r="F187" s="180">
        <f>SUM(($Z$8*1.08*1.0952*1.5*1.15)/Z134*E187)</f>
        <v>11.592114281999997</v>
      </c>
      <c r="G187" s="250">
        <f>SUM(($Z$8*1.08*1.0952*G137)/Z134*E187)</f>
        <v>1.0080099375652174</v>
      </c>
      <c r="H187" s="250"/>
      <c r="I187" s="239">
        <f>(F187+G187+H187)*$I$12</f>
        <v>4.309242483091304</v>
      </c>
      <c r="J187" s="12"/>
      <c r="K187" s="23">
        <f>0.143/10*48.52</f>
        <v>0.693836</v>
      </c>
      <c r="L187" s="13"/>
      <c r="M187" s="14"/>
      <c r="N187" s="8"/>
      <c r="O187" s="14"/>
      <c r="P187" s="117">
        <f>5.1/10*22</f>
        <v>11.22</v>
      </c>
      <c r="Q187" s="99"/>
      <c r="R187" s="24">
        <f>0.24/10*94.35</f>
        <v>2.2643999999999997</v>
      </c>
      <c r="S187" s="114">
        <f>5.31*0.5/10</f>
        <v>0.26549999999999996</v>
      </c>
      <c r="T187" s="24">
        <f>SUM(F187:S187)</f>
        <v>31.35310270265652</v>
      </c>
      <c r="U187" s="23">
        <f>(F187+G187+H187)*$U$13</f>
        <v>1.9530192540326083</v>
      </c>
      <c r="V187" s="23">
        <f>(F187+G187+H187)*$V$13</f>
        <v>9.828096891260868</v>
      </c>
      <c r="W187" s="117">
        <f>(T187+U187+V187)*$W$12</f>
        <v>6.4701328271925</v>
      </c>
      <c r="X187" s="23">
        <f>T187+U187+V187+W187</f>
        <v>49.6043516751425</v>
      </c>
      <c r="Y187" s="175">
        <f>X187*1.18</f>
        <v>58.53313497666815</v>
      </c>
    </row>
    <row r="188" spans="1:25" ht="14.25" hidden="1">
      <c r="A188" s="8">
        <v>22</v>
      </c>
      <c r="B188" s="8" t="s">
        <v>41</v>
      </c>
      <c r="C188" s="9"/>
      <c r="D188" s="8"/>
      <c r="E188" s="14"/>
      <c r="F188" s="99"/>
      <c r="G188" s="248"/>
      <c r="H188" s="248"/>
      <c r="I188" s="85"/>
      <c r="J188" s="12"/>
      <c r="K188" s="8"/>
      <c r="L188" s="13"/>
      <c r="M188" s="14"/>
      <c r="N188" s="8"/>
      <c r="O188" s="14"/>
      <c r="P188" s="12"/>
      <c r="Q188" s="99"/>
      <c r="R188" s="14"/>
      <c r="S188" s="99"/>
      <c r="T188" s="14"/>
      <c r="U188" s="23"/>
      <c r="V188" s="23"/>
      <c r="W188" s="117"/>
      <c r="X188" s="8"/>
      <c r="Y188" s="13"/>
    </row>
    <row r="189" spans="1:25" ht="14.25" hidden="1">
      <c r="A189" s="8"/>
      <c r="B189" s="8" t="s">
        <v>42</v>
      </c>
      <c r="C189" s="9"/>
      <c r="D189" s="8"/>
      <c r="E189" s="14"/>
      <c r="F189" s="99"/>
      <c r="G189" s="248"/>
      <c r="H189" s="248"/>
      <c r="I189" s="85"/>
      <c r="J189" s="12"/>
      <c r="K189" s="8"/>
      <c r="L189" s="13"/>
      <c r="M189" s="14"/>
      <c r="N189" s="8"/>
      <c r="O189" s="14"/>
      <c r="P189" s="12"/>
      <c r="Q189" s="99"/>
      <c r="R189" s="14"/>
      <c r="S189" s="99"/>
      <c r="T189" s="14"/>
      <c r="U189" s="23"/>
      <c r="V189" s="23"/>
      <c r="W189" s="117"/>
      <c r="X189" s="8"/>
      <c r="Y189" s="13"/>
    </row>
    <row r="190" spans="1:25" ht="14.25" hidden="1">
      <c r="A190" s="8"/>
      <c r="B190" s="8" t="s">
        <v>44</v>
      </c>
      <c r="C190" s="9" t="s">
        <v>74</v>
      </c>
      <c r="D190" s="8"/>
      <c r="E190" s="14"/>
      <c r="F190" s="180"/>
      <c r="G190" s="248"/>
      <c r="H190" s="248"/>
      <c r="I190" s="85"/>
      <c r="J190" s="12"/>
      <c r="K190" s="8"/>
      <c r="L190" s="13"/>
      <c r="M190" s="14"/>
      <c r="N190" s="8"/>
      <c r="O190" s="14"/>
      <c r="P190" s="12"/>
      <c r="Q190" s="99"/>
      <c r="R190" s="14"/>
      <c r="S190" s="99"/>
      <c r="T190" s="14"/>
      <c r="U190" s="23"/>
      <c r="V190" s="23"/>
      <c r="W190" s="117"/>
      <c r="X190" s="8"/>
      <c r="Y190" s="13"/>
    </row>
    <row r="191" spans="1:25" ht="16.5" hidden="1">
      <c r="A191" s="8"/>
      <c r="B191" s="8" t="s">
        <v>323</v>
      </c>
      <c r="C191" s="9" t="s">
        <v>97</v>
      </c>
      <c r="D191" s="11" t="s">
        <v>199</v>
      </c>
      <c r="E191" s="14">
        <f>3.64/10</f>
        <v>0.364</v>
      </c>
      <c r="F191" s="180">
        <f>SUM(($Z$8*1.08*1.0952*1.5*1.15)/Z134*E191)</f>
        <v>16.952710319999998</v>
      </c>
      <c r="G191" s="250">
        <f>SUM(($Z$8*1.08*1.0952*G137*1.15)/Z134*E191)</f>
        <v>1.6952710319999997</v>
      </c>
      <c r="H191" s="250"/>
      <c r="I191" s="239">
        <f>(F191+G191+H191)*$I$12</f>
        <v>6.377609622384</v>
      </c>
      <c r="J191" s="12"/>
      <c r="K191" s="8"/>
      <c r="L191" s="13"/>
      <c r="M191" s="14"/>
      <c r="N191" s="8"/>
      <c r="O191" s="24">
        <f>0.11/10*109.2</f>
        <v>1.2012</v>
      </c>
      <c r="P191" s="117">
        <f>3.37/10*22</f>
        <v>7.414000000000001</v>
      </c>
      <c r="Q191" s="114">
        <f>0.2/10*50</f>
        <v>1</v>
      </c>
      <c r="R191" s="24"/>
      <c r="S191" s="114"/>
      <c r="T191" s="24">
        <f>SUM(F191:S191)</f>
        <v>34.640790974384</v>
      </c>
      <c r="U191" s="23">
        <f>(F191+G191+H191)*$U$13</f>
        <v>2.8904371095599997</v>
      </c>
      <c r="V191" s="23">
        <f>(F191+G191+H191)*$V$13</f>
        <v>14.54542545456</v>
      </c>
      <c r="W191" s="117">
        <f>(T191+U191+V191)*$W$12</f>
        <v>7.811498030775598</v>
      </c>
      <c r="X191" s="23">
        <f>T191+U191+V191+W191</f>
        <v>59.888151569279586</v>
      </c>
      <c r="Y191" s="175">
        <f>X191*1.18</f>
        <v>70.6680188517499</v>
      </c>
    </row>
    <row r="192" spans="1:25" ht="16.5" hidden="1">
      <c r="A192" s="8">
        <v>23</v>
      </c>
      <c r="B192" s="8" t="s">
        <v>53</v>
      </c>
      <c r="C192" s="9" t="s">
        <v>98</v>
      </c>
      <c r="D192" s="11" t="s">
        <v>199</v>
      </c>
      <c r="E192" s="26">
        <f>2.009/10</f>
        <v>0.2009</v>
      </c>
      <c r="F192" s="180">
        <f>SUM(($Z$8*1.08*1.0952*1.5*1.15)/Z134*E192)</f>
        <v>9.356592041999999</v>
      </c>
      <c r="G192" s="250">
        <f>SUM(($Z$8*1.08*1.0952*G137*1.15)/Z134*E192)</f>
        <v>0.9356592041999998</v>
      </c>
      <c r="H192" s="250"/>
      <c r="I192" s="239">
        <f>(F192+G192+H192)*$I$12</f>
        <v>3.5199499262004</v>
      </c>
      <c r="J192" s="12"/>
      <c r="K192" s="23">
        <f>0.143/10*48.52</f>
        <v>0.693836</v>
      </c>
      <c r="L192" s="13"/>
      <c r="M192" s="14"/>
      <c r="N192" s="8"/>
      <c r="O192" s="14"/>
      <c r="P192" s="117">
        <f>5.1/10*22</f>
        <v>11.22</v>
      </c>
      <c r="Q192" s="99"/>
      <c r="R192" s="24">
        <f>0.24/10*94.35</f>
        <v>2.2643999999999997</v>
      </c>
      <c r="S192" s="114">
        <f>S187</f>
        <v>0.26549999999999996</v>
      </c>
      <c r="T192" s="24">
        <f>SUM(F192:S192)</f>
        <v>28.255937172400397</v>
      </c>
      <c r="U192" s="23">
        <f>(F192+G192+H192)*$U$13</f>
        <v>1.5952989431609998</v>
      </c>
      <c r="V192" s="23">
        <f>(F192+G192+H192)*$V$13</f>
        <v>8.027955972036</v>
      </c>
      <c r="W192" s="117">
        <f>(T192+U192+V192)*$W$12</f>
        <v>5.68187881313961</v>
      </c>
      <c r="X192" s="23">
        <f>T192+U192+V192+W192</f>
        <v>43.561070900737015</v>
      </c>
      <c r="Y192" s="175">
        <f>X192*1.18</f>
        <v>51.40206366286967</v>
      </c>
    </row>
    <row r="193" spans="1:25" ht="14.25" hidden="1">
      <c r="A193" s="8">
        <v>24</v>
      </c>
      <c r="B193" s="8" t="s">
        <v>41</v>
      </c>
      <c r="C193" s="9"/>
      <c r="D193" s="8"/>
      <c r="E193" s="14"/>
      <c r="F193" s="99"/>
      <c r="G193" s="248"/>
      <c r="H193" s="248"/>
      <c r="I193" s="85"/>
      <c r="J193" s="12"/>
      <c r="K193" s="8"/>
      <c r="L193" s="13"/>
      <c r="M193" s="14"/>
      <c r="N193" s="8"/>
      <c r="O193" s="14"/>
      <c r="P193" s="12"/>
      <c r="Q193" s="99"/>
      <c r="R193" s="14"/>
      <c r="S193" s="99"/>
      <c r="T193" s="14"/>
      <c r="U193" s="23"/>
      <c r="V193" s="23"/>
      <c r="W193" s="117"/>
      <c r="X193" s="8"/>
      <c r="Y193" s="13"/>
    </row>
    <row r="194" spans="1:25" ht="14.25" hidden="1">
      <c r="A194" s="8"/>
      <c r="B194" s="8" t="s">
        <v>48</v>
      </c>
      <c r="C194" s="9"/>
      <c r="D194" s="8"/>
      <c r="E194" s="14"/>
      <c r="F194" s="99"/>
      <c r="G194" s="248"/>
      <c r="H194" s="248"/>
      <c r="I194" s="85"/>
      <c r="J194" s="12"/>
      <c r="K194" s="8"/>
      <c r="L194" s="13"/>
      <c r="M194" s="14"/>
      <c r="N194" s="8"/>
      <c r="O194" s="14"/>
      <c r="P194" s="12"/>
      <c r="Q194" s="99"/>
      <c r="R194" s="14"/>
      <c r="S194" s="99"/>
      <c r="T194" s="14"/>
      <c r="U194" s="23"/>
      <c r="V194" s="23"/>
      <c r="W194" s="117"/>
      <c r="X194" s="8"/>
      <c r="Y194" s="13"/>
    </row>
    <row r="195" spans="1:25" ht="14.25" hidden="1">
      <c r="A195" s="8"/>
      <c r="B195" s="8" t="s">
        <v>49</v>
      </c>
      <c r="C195" s="9" t="s">
        <v>74</v>
      </c>
      <c r="D195" s="8"/>
      <c r="E195" s="14"/>
      <c r="F195" s="99"/>
      <c r="G195" s="248"/>
      <c r="H195" s="248"/>
      <c r="I195" s="85"/>
      <c r="J195" s="12"/>
      <c r="K195" s="8"/>
      <c r="L195" s="13"/>
      <c r="M195" s="14"/>
      <c r="N195" s="8"/>
      <c r="O195" s="14"/>
      <c r="P195" s="12"/>
      <c r="Q195" s="99"/>
      <c r="R195" s="14"/>
      <c r="S195" s="99"/>
      <c r="T195" s="14"/>
      <c r="U195" s="23"/>
      <c r="V195" s="23"/>
      <c r="W195" s="117"/>
      <c r="X195" s="8"/>
      <c r="Y195" s="13"/>
    </row>
    <row r="196" spans="1:25" ht="16.5" hidden="1">
      <c r="A196" s="8"/>
      <c r="B196" s="8" t="s">
        <v>324</v>
      </c>
      <c r="C196" s="9" t="s">
        <v>100</v>
      </c>
      <c r="D196" s="11" t="s">
        <v>199</v>
      </c>
      <c r="E196" s="26">
        <f>5.785/10</f>
        <v>0.5785</v>
      </c>
      <c r="F196" s="180">
        <f>SUM(($Z$8*1.08*1.0952*1.5*1.15)/Z134*E196)</f>
        <v>26.942700329999997</v>
      </c>
      <c r="G196" s="250">
        <f>SUM(($Z$8*1.08*1.0952*G137*1.15)/Z134*E196)</f>
        <v>2.6942700329999996</v>
      </c>
      <c r="H196" s="250"/>
      <c r="I196" s="239">
        <f>(F196+G196+H196)*$I$12</f>
        <v>10.135843864145999</v>
      </c>
      <c r="J196" s="12"/>
      <c r="K196" s="8"/>
      <c r="L196" s="13"/>
      <c r="M196" s="14"/>
      <c r="N196" s="8"/>
      <c r="O196" s="24">
        <f>0.11/10*109.2</f>
        <v>1.2012</v>
      </c>
      <c r="P196" s="117">
        <f>3.37/10*22</f>
        <v>7.414000000000001</v>
      </c>
      <c r="Q196" s="114">
        <f>0.2/10*50</f>
        <v>1</v>
      </c>
      <c r="R196" s="24"/>
      <c r="S196" s="114"/>
      <c r="T196" s="24">
        <f>SUM(F196:S196)</f>
        <v>49.388014227145995</v>
      </c>
      <c r="U196" s="23">
        <f>(F196+G196+H196)*$U$13</f>
        <v>4.593730406264999</v>
      </c>
      <c r="V196" s="23">
        <f>(F196+G196+H196)*$V$13</f>
        <v>23.11683688314</v>
      </c>
      <c r="W196" s="117">
        <f>(T196+U196+V196)*$W$12</f>
        <v>11.564787227482649</v>
      </c>
      <c r="X196" s="23">
        <f>T196+U196+V196+W196</f>
        <v>88.66336874403365</v>
      </c>
      <c r="Y196" s="175">
        <f>X196*1.18</f>
        <v>104.6227751179597</v>
      </c>
    </row>
    <row r="197" spans="1:25" ht="16.5" hidden="1">
      <c r="A197" s="8">
        <v>25</v>
      </c>
      <c r="B197" s="8" t="s">
        <v>53</v>
      </c>
      <c r="C197" s="9" t="s">
        <v>101</v>
      </c>
      <c r="D197" s="11" t="s">
        <v>199</v>
      </c>
      <c r="E197" s="26">
        <f>2.61/10</f>
        <v>0.261</v>
      </c>
      <c r="F197" s="180">
        <f>SUM(($Z$8*1.08*1.0952*1.5*1.15)/Z134*E197)</f>
        <v>12.155652179999999</v>
      </c>
      <c r="G197" s="250">
        <f>SUM(($Z$8*1.08*1.0952*G137*1.15)/Z134*E197)</f>
        <v>1.2155652179999998</v>
      </c>
      <c r="H197" s="250"/>
      <c r="I197" s="239">
        <f>(F197+G197+H197)*$I$12</f>
        <v>4.572956350116</v>
      </c>
      <c r="J197" s="12"/>
      <c r="K197" s="23">
        <f>0.143/10*48.52</f>
        <v>0.693836</v>
      </c>
      <c r="L197" s="13"/>
      <c r="M197" s="14"/>
      <c r="N197" s="8"/>
      <c r="O197" s="14"/>
      <c r="P197" s="117">
        <f>5.5/10*22</f>
        <v>12.100000000000001</v>
      </c>
      <c r="Q197" s="99"/>
      <c r="R197" s="24">
        <f>0.24/10*94.35</f>
        <v>2.2643999999999997</v>
      </c>
      <c r="S197" s="114">
        <f>S187</f>
        <v>0.26549999999999996</v>
      </c>
      <c r="T197" s="24">
        <f>SUM(F197:S197)</f>
        <v>33.267909748116004</v>
      </c>
      <c r="U197" s="23">
        <f>(F197+G197+H197)*$U$13</f>
        <v>2.0725386966899997</v>
      </c>
      <c r="V197" s="23">
        <f>(F197+G197+H197)*$V$13</f>
        <v>10.429549570439999</v>
      </c>
      <c r="W197" s="117">
        <f>(T197+U197+V197)*$W$12</f>
        <v>6.8654997022869</v>
      </c>
      <c r="X197" s="23">
        <f>T197+U197+V197+W197</f>
        <v>52.6354977175329</v>
      </c>
      <c r="Y197" s="175">
        <f>X197*1.18</f>
        <v>62.10988730668882</v>
      </c>
    </row>
    <row r="198" spans="1:25" ht="14.25" hidden="1">
      <c r="A198" s="8">
        <v>26</v>
      </c>
      <c r="B198" s="8" t="s">
        <v>41</v>
      </c>
      <c r="C198" s="9"/>
      <c r="D198" s="8"/>
      <c r="E198" s="14"/>
      <c r="F198" s="99"/>
      <c r="G198" s="248"/>
      <c r="H198" s="248"/>
      <c r="I198" s="85"/>
      <c r="J198" s="12"/>
      <c r="K198" s="8"/>
      <c r="L198" s="13"/>
      <c r="M198" s="14"/>
      <c r="N198" s="8"/>
      <c r="O198" s="14"/>
      <c r="P198" s="12"/>
      <c r="Q198" s="99"/>
      <c r="R198" s="14"/>
      <c r="S198" s="99"/>
      <c r="T198" s="14"/>
      <c r="U198" s="23"/>
      <c r="V198" s="23"/>
      <c r="W198" s="117"/>
      <c r="X198" s="8"/>
      <c r="Y198" s="13"/>
    </row>
    <row r="199" spans="1:25" ht="14.25" hidden="1">
      <c r="A199" s="8"/>
      <c r="B199" s="8" t="s">
        <v>48</v>
      </c>
      <c r="C199" s="9"/>
      <c r="D199" s="8"/>
      <c r="E199" s="14"/>
      <c r="F199" s="99"/>
      <c r="G199" s="248"/>
      <c r="H199" s="248"/>
      <c r="I199" s="85"/>
      <c r="J199" s="12"/>
      <c r="K199" s="8"/>
      <c r="L199" s="13"/>
      <c r="M199" s="14"/>
      <c r="N199" s="8"/>
      <c r="O199" s="14"/>
      <c r="P199" s="12"/>
      <c r="Q199" s="99"/>
      <c r="R199" s="14"/>
      <c r="S199" s="99"/>
      <c r="T199" s="14"/>
      <c r="U199" s="23"/>
      <c r="V199" s="23"/>
      <c r="W199" s="117"/>
      <c r="X199" s="8"/>
      <c r="Y199" s="13"/>
    </row>
    <row r="200" spans="1:25" ht="14.25" hidden="1">
      <c r="A200" s="8"/>
      <c r="B200" s="8" t="s">
        <v>49</v>
      </c>
      <c r="C200" s="9" t="s">
        <v>74</v>
      </c>
      <c r="D200" s="8"/>
      <c r="E200" s="14"/>
      <c r="F200" s="99"/>
      <c r="G200" s="248"/>
      <c r="H200" s="248"/>
      <c r="I200" s="85"/>
      <c r="J200" s="12"/>
      <c r="K200" s="8"/>
      <c r="L200" s="13"/>
      <c r="M200" s="14"/>
      <c r="N200" s="8"/>
      <c r="O200" s="14"/>
      <c r="P200" s="12"/>
      <c r="Q200" s="99"/>
      <c r="R200" s="14"/>
      <c r="S200" s="99"/>
      <c r="T200" s="14"/>
      <c r="U200" s="23"/>
      <c r="V200" s="23"/>
      <c r="W200" s="117"/>
      <c r="X200" s="8"/>
      <c r="Y200" s="13"/>
    </row>
    <row r="201" spans="1:25" ht="16.5" hidden="1">
      <c r="A201" s="8"/>
      <c r="B201" s="8" t="s">
        <v>102</v>
      </c>
      <c r="C201" s="9" t="s">
        <v>103</v>
      </c>
      <c r="D201" s="11" t="s">
        <v>199</v>
      </c>
      <c r="E201" s="26">
        <f>6.675/10</f>
        <v>0.6675</v>
      </c>
      <c r="F201" s="180">
        <f>SUM(($Z$8*1.08*1.0952*1.5*1.15)/Z134*E201)</f>
        <v>31.087731149999996</v>
      </c>
      <c r="G201" s="250">
        <f>SUM(($Z$8*1.08*1.0952*G137*1.15)/Z134*E201)</f>
        <v>3.1087731149999995</v>
      </c>
      <c r="H201" s="250"/>
      <c r="I201" s="239">
        <f>(F201+G201+H201)*$I$12</f>
        <v>11.695204458629998</v>
      </c>
      <c r="J201" s="12"/>
      <c r="K201" s="8"/>
      <c r="L201" s="13"/>
      <c r="M201" s="14"/>
      <c r="N201" s="8"/>
      <c r="O201" s="24">
        <f>0.11/10*109.2</f>
        <v>1.2012</v>
      </c>
      <c r="P201" s="117">
        <f>3.77/10*22</f>
        <v>8.294</v>
      </c>
      <c r="Q201" s="114">
        <f>0.2/10*50</f>
        <v>1</v>
      </c>
      <c r="R201" s="24"/>
      <c r="S201" s="114"/>
      <c r="T201" s="24">
        <f>SUM(F201:S201)</f>
        <v>56.386908723629986</v>
      </c>
      <c r="U201" s="23">
        <f>(F201+G201+H201)*$U$13</f>
        <v>5.3004581610749995</v>
      </c>
      <c r="V201" s="23">
        <f>(F201+G201+H201)*$V$13</f>
        <v>26.673273326699995</v>
      </c>
      <c r="W201" s="117">
        <f>(T201+U201+V201)*$W$12</f>
        <v>13.254096031710747</v>
      </c>
      <c r="X201" s="23">
        <f>T201+U201+V201+W201</f>
        <v>101.61473624311573</v>
      </c>
      <c r="Y201" s="175">
        <f>X201*1.18</f>
        <v>119.90538876687656</v>
      </c>
    </row>
    <row r="202" spans="1:25" ht="16.5" hidden="1">
      <c r="A202" s="8">
        <v>27</v>
      </c>
      <c r="B202" s="8" t="s">
        <v>53</v>
      </c>
      <c r="C202" s="9" t="s">
        <v>104</v>
      </c>
      <c r="D202" s="11" t="s">
        <v>199</v>
      </c>
      <c r="E202" s="26">
        <f>3.091/10</f>
        <v>0.30910000000000004</v>
      </c>
      <c r="F202" s="180">
        <f>SUM(($Z$8*1.08*1.0952*1.5*1.15)/Z134*E202)</f>
        <v>14.395831758</v>
      </c>
      <c r="G202" s="250">
        <f>SUM(($Z$8*1.08*1.0952*G137*1.15)/Z134*E202)</f>
        <v>1.4395831758</v>
      </c>
      <c r="H202" s="250"/>
      <c r="I202" s="239">
        <f>(F202+G202+H202)*$I$12</f>
        <v>5.4157119073596</v>
      </c>
      <c r="J202" s="12"/>
      <c r="K202" s="23">
        <f>0.143/10*48.52</f>
        <v>0.693836</v>
      </c>
      <c r="L202" s="13"/>
      <c r="M202" s="14"/>
      <c r="N202" s="8"/>
      <c r="O202" s="14"/>
      <c r="P202" s="117">
        <f>5.5/10*22</f>
        <v>12.100000000000001</v>
      </c>
      <c r="Q202" s="99"/>
      <c r="R202" s="24">
        <f>0.24/10*94.35</f>
        <v>2.2643999999999997</v>
      </c>
      <c r="S202" s="114">
        <f>S187</f>
        <v>0.26549999999999996</v>
      </c>
      <c r="T202" s="24">
        <f>SUM(F202:S202)</f>
        <v>36.57486284115961</v>
      </c>
      <c r="U202" s="23">
        <f>(F202+G202+H202)*$U$13</f>
        <v>2.454489314739</v>
      </c>
      <c r="V202" s="23">
        <f>(F202+G202+H202)*$V$13</f>
        <v>12.351623648363999</v>
      </c>
      <c r="W202" s="117">
        <f>(T202+U202+V202)*$W$12</f>
        <v>7.70714637063939</v>
      </c>
      <c r="X202" s="23">
        <f>T202+U202+V202+W202</f>
        <v>59.088122174902</v>
      </c>
      <c r="Y202" s="175">
        <f>X202*1.18</f>
        <v>69.72398416638435</v>
      </c>
    </row>
    <row r="203" spans="1:25" ht="14.25" hidden="1">
      <c r="A203" s="8">
        <v>28</v>
      </c>
      <c r="B203" s="8" t="s">
        <v>41</v>
      </c>
      <c r="C203" s="9"/>
      <c r="D203" s="11"/>
      <c r="E203" s="26"/>
      <c r="F203" s="99"/>
      <c r="G203" s="248"/>
      <c r="H203" s="248"/>
      <c r="I203" s="85"/>
      <c r="J203" s="12"/>
      <c r="K203" s="8"/>
      <c r="L203" s="13"/>
      <c r="M203" s="14"/>
      <c r="N203" s="8"/>
      <c r="O203" s="14"/>
      <c r="P203" s="12"/>
      <c r="Q203" s="99"/>
      <c r="R203" s="14"/>
      <c r="S203" s="99"/>
      <c r="T203" s="14"/>
      <c r="U203" s="23"/>
      <c r="V203" s="23"/>
      <c r="W203" s="117"/>
      <c r="X203" s="8"/>
      <c r="Y203" s="13"/>
    </row>
    <row r="204" spans="1:25" ht="14.25" hidden="1">
      <c r="A204" s="8"/>
      <c r="B204" s="8" t="s">
        <v>50</v>
      </c>
      <c r="C204" s="9" t="s">
        <v>74</v>
      </c>
      <c r="D204" s="11"/>
      <c r="E204" s="26"/>
      <c r="F204" s="99"/>
      <c r="G204" s="248"/>
      <c r="H204" s="248"/>
      <c r="I204" s="85"/>
      <c r="J204" s="12"/>
      <c r="K204" s="8"/>
      <c r="L204" s="13"/>
      <c r="M204" s="14"/>
      <c r="N204" s="8"/>
      <c r="O204" s="14"/>
      <c r="P204" s="12"/>
      <c r="Q204" s="99"/>
      <c r="R204" s="14"/>
      <c r="S204" s="99"/>
      <c r="T204" s="14"/>
      <c r="U204" s="23"/>
      <c r="V204" s="23"/>
      <c r="W204" s="117"/>
      <c r="X204" s="8"/>
      <c r="Y204" s="13"/>
    </row>
    <row r="205" spans="1:25" ht="16.5" hidden="1">
      <c r="A205" s="8"/>
      <c r="B205" s="8" t="s">
        <v>43</v>
      </c>
      <c r="C205" s="9" t="s">
        <v>105</v>
      </c>
      <c r="D205" s="11" t="s">
        <v>199</v>
      </c>
      <c r="E205" s="26">
        <f>8.45/10</f>
        <v>0.845</v>
      </c>
      <c r="F205" s="180">
        <f>SUM(($Z$8*1.08*1.0952*1.5*1.15)/Z134*E205)</f>
        <v>39.354506099999995</v>
      </c>
      <c r="G205" s="250">
        <f>SUM(($Z$8*1.08*1.0952*G137*1.15)/Z134*E205)</f>
        <v>3.9354506099999993</v>
      </c>
      <c r="H205" s="250"/>
      <c r="I205" s="239">
        <f>(F205+G205+H205)*$I$12</f>
        <v>14.805165194819999</v>
      </c>
      <c r="J205" s="12"/>
      <c r="K205" s="8"/>
      <c r="L205" s="13"/>
      <c r="M205" s="14"/>
      <c r="N205" s="8"/>
      <c r="O205" s="24">
        <f>0.11/10*109.2</f>
        <v>1.2012</v>
      </c>
      <c r="P205" s="117">
        <f>3.27/10*22</f>
        <v>7.194</v>
      </c>
      <c r="Q205" s="114">
        <f>0.16/10*50</f>
        <v>0.8</v>
      </c>
      <c r="R205" s="24"/>
      <c r="S205" s="114"/>
      <c r="T205" s="24">
        <f>SUM(F205:S205)</f>
        <v>67.29032190481999</v>
      </c>
      <c r="U205" s="23">
        <f>(F205+G205+H205)*$U$13</f>
        <v>6.709943290049998</v>
      </c>
      <c r="V205" s="23">
        <f>(F205+G205+H205)*$V$13</f>
        <v>33.76616623379999</v>
      </c>
      <c r="W205" s="117">
        <f>(T205+U205+V205)*$W$12</f>
        <v>16.164964714300496</v>
      </c>
      <c r="X205" s="23">
        <f>T205+U205+V205+W205</f>
        <v>123.93139614297047</v>
      </c>
      <c r="Y205" s="175">
        <f>X205*1.18</f>
        <v>146.23904744870515</v>
      </c>
    </row>
    <row r="206" spans="1:25" ht="14.25" hidden="1">
      <c r="A206" s="8">
        <v>29</v>
      </c>
      <c r="B206" s="8" t="s">
        <v>41</v>
      </c>
      <c r="C206" s="9"/>
      <c r="D206" s="11"/>
      <c r="E206" s="26"/>
      <c r="F206" s="99"/>
      <c r="G206" s="248"/>
      <c r="H206" s="248"/>
      <c r="I206" s="239"/>
      <c r="J206" s="12"/>
      <c r="K206" s="8"/>
      <c r="L206" s="13"/>
      <c r="M206" s="14"/>
      <c r="N206" s="8"/>
      <c r="O206" s="14"/>
      <c r="P206" s="12"/>
      <c r="Q206" s="99"/>
      <c r="R206" s="14"/>
      <c r="S206" s="99"/>
      <c r="T206" s="14"/>
      <c r="U206" s="23"/>
      <c r="V206" s="23"/>
      <c r="W206" s="117"/>
      <c r="X206" s="8"/>
      <c r="Y206" s="13"/>
    </row>
    <row r="207" spans="1:25" ht="14.25" hidden="1">
      <c r="A207" s="8"/>
      <c r="B207" s="8" t="s">
        <v>51</v>
      </c>
      <c r="C207" s="9" t="s">
        <v>74</v>
      </c>
      <c r="D207" s="11"/>
      <c r="E207" s="26"/>
      <c r="F207" s="99"/>
      <c r="G207" s="248"/>
      <c r="H207" s="248"/>
      <c r="I207" s="85"/>
      <c r="J207" s="12"/>
      <c r="K207" s="8"/>
      <c r="L207" s="13"/>
      <c r="M207" s="14"/>
      <c r="N207" s="8"/>
      <c r="O207" s="14"/>
      <c r="P207" s="12"/>
      <c r="Q207" s="99"/>
      <c r="R207" s="14"/>
      <c r="S207" s="99"/>
      <c r="T207" s="14"/>
      <c r="U207" s="23"/>
      <c r="V207" s="23"/>
      <c r="W207" s="117"/>
      <c r="X207" s="8"/>
      <c r="Y207" s="13"/>
    </row>
    <row r="208" spans="1:25" ht="16.5" hidden="1">
      <c r="A208" s="8"/>
      <c r="B208" s="8" t="s">
        <v>106</v>
      </c>
      <c r="C208" s="9" t="s">
        <v>110</v>
      </c>
      <c r="D208" s="11" t="s">
        <v>199</v>
      </c>
      <c r="E208" s="26">
        <f>5.759/10</f>
        <v>0.5759000000000001</v>
      </c>
      <c r="F208" s="180">
        <f>SUM(($Z$8*1.08*1.0952*1.5*1.15)/Z134*E208)</f>
        <v>26.821609542</v>
      </c>
      <c r="G208" s="250">
        <f>SUM(($Z$8*1.08*1.0952*G137*1.15)/Z134*E208)</f>
        <v>2.6821609542</v>
      </c>
      <c r="H208" s="250"/>
      <c r="I208" s="239">
        <f>(F208+G208+H208)*$I$12</f>
        <v>10.090289509700401</v>
      </c>
      <c r="J208" s="12"/>
      <c r="K208" s="8"/>
      <c r="L208" s="13"/>
      <c r="M208" s="14"/>
      <c r="N208" s="8"/>
      <c r="O208" s="24">
        <f>0.11/10*109.2</f>
        <v>1.2012</v>
      </c>
      <c r="P208" s="117">
        <f>3.32/10*10</f>
        <v>3.3199999999999994</v>
      </c>
      <c r="Q208" s="114">
        <f>0.18/10*50</f>
        <v>0.8999999999999999</v>
      </c>
      <c r="R208" s="24"/>
      <c r="S208" s="114"/>
      <c r="T208" s="24">
        <f>SUM(F208:S208)</f>
        <v>45.0152600059004</v>
      </c>
      <c r="U208" s="23">
        <f>(F208+G208+H208)*$U$13</f>
        <v>4.5730844269110005</v>
      </c>
      <c r="V208" s="23">
        <f>(F208+G208+H208)*$V$13</f>
        <v>23.012940987036004</v>
      </c>
      <c r="W208" s="117">
        <f>(T208+U208+V208)*$W$12</f>
        <v>10.890192812977112</v>
      </c>
      <c r="X208" s="23">
        <f>T208+U208+V208+W208</f>
        <v>83.49147823282453</v>
      </c>
      <c r="Y208" s="175">
        <f>X208*1.18</f>
        <v>98.51994431473294</v>
      </c>
    </row>
    <row r="209" spans="1:25" ht="14.25" hidden="1">
      <c r="A209" s="8">
        <v>30</v>
      </c>
      <c r="B209" s="8" t="s">
        <v>41</v>
      </c>
      <c r="C209" s="9"/>
      <c r="D209" s="11"/>
      <c r="E209" s="26"/>
      <c r="F209" s="99"/>
      <c r="G209" s="248"/>
      <c r="H209" s="248"/>
      <c r="I209" s="239"/>
      <c r="J209" s="12"/>
      <c r="K209" s="8"/>
      <c r="L209" s="13"/>
      <c r="M209" s="14"/>
      <c r="N209" s="8"/>
      <c r="O209" s="14"/>
      <c r="P209" s="12"/>
      <c r="Q209" s="99"/>
      <c r="R209" s="14"/>
      <c r="S209" s="99"/>
      <c r="T209" s="14"/>
      <c r="U209" s="23"/>
      <c r="V209" s="23"/>
      <c r="W209" s="117"/>
      <c r="X209" s="8"/>
      <c r="Y209" s="13"/>
    </row>
    <row r="210" spans="1:25" ht="14.25" hidden="1">
      <c r="A210" s="8"/>
      <c r="B210" s="8" t="s">
        <v>51</v>
      </c>
      <c r="C210" s="9" t="s">
        <v>74</v>
      </c>
      <c r="D210" s="11"/>
      <c r="E210" s="26"/>
      <c r="F210" s="99"/>
      <c r="G210" s="248"/>
      <c r="H210" s="248"/>
      <c r="I210" s="85"/>
      <c r="J210" s="12"/>
      <c r="K210" s="8"/>
      <c r="L210" s="13"/>
      <c r="M210" s="14"/>
      <c r="N210" s="8"/>
      <c r="O210" s="14"/>
      <c r="P210" s="12"/>
      <c r="Q210" s="99"/>
      <c r="R210" s="14"/>
      <c r="S210" s="99"/>
      <c r="T210" s="14"/>
      <c r="U210" s="23"/>
      <c r="V210" s="23"/>
      <c r="W210" s="117"/>
      <c r="X210" s="8"/>
      <c r="Y210" s="13"/>
    </row>
    <row r="211" spans="1:25" ht="16.5" hidden="1">
      <c r="A211" s="8"/>
      <c r="B211" s="8" t="s">
        <v>108</v>
      </c>
      <c r="C211" s="9" t="s">
        <v>109</v>
      </c>
      <c r="D211" s="11" t="s">
        <v>199</v>
      </c>
      <c r="E211" s="26">
        <f>10.4/10</f>
        <v>1.04</v>
      </c>
      <c r="F211" s="180">
        <f>SUM(($Z$8*1.08*1.0952*1.5*1.15)/Z134*E211)</f>
        <v>48.436315199999996</v>
      </c>
      <c r="G211" s="250">
        <f>SUM(($Z$8*1.08*1.0952*G137*1.15)/Z134*E211)</f>
        <v>4.84363152</v>
      </c>
      <c r="H211" s="250"/>
      <c r="I211" s="239">
        <f>(F211+G211+H211)*$I$12</f>
        <v>18.221741778240002</v>
      </c>
      <c r="J211" s="12"/>
      <c r="K211" s="8"/>
      <c r="L211" s="13"/>
      <c r="M211" s="14"/>
      <c r="N211" s="8"/>
      <c r="O211" s="24">
        <f>0.11/10*109.2</f>
        <v>1.2012</v>
      </c>
      <c r="P211" s="117">
        <f>4.73/10*22</f>
        <v>10.406</v>
      </c>
      <c r="Q211" s="114">
        <f>0.97/10*50</f>
        <v>4.8500000000000005</v>
      </c>
      <c r="R211" s="24"/>
      <c r="S211" s="114"/>
      <c r="T211" s="24">
        <f>SUM(F211:S211)</f>
        <v>87.95888849824</v>
      </c>
      <c r="U211" s="23">
        <f>(F211+G211+H211)*$U$13</f>
        <v>8.258391741599999</v>
      </c>
      <c r="V211" s="23">
        <f>(F211+G211+H211)*$V$13</f>
        <v>41.5583584416</v>
      </c>
      <c r="W211" s="117">
        <f>(T211+U211+V211)*$W$12</f>
        <v>20.666345802216</v>
      </c>
      <c r="X211" s="23">
        <f>T211+U211+V211+W211</f>
        <v>158.441984483656</v>
      </c>
      <c r="Y211" s="175">
        <f>X211*1.18</f>
        <v>186.96154169071406</v>
      </c>
    </row>
    <row r="212" spans="1:25" ht="14.25" hidden="1">
      <c r="A212" s="8">
        <v>31</v>
      </c>
      <c r="B212" s="8" t="s">
        <v>41</v>
      </c>
      <c r="C212" s="9"/>
      <c r="D212" s="11"/>
      <c r="E212" s="26"/>
      <c r="F212" s="99"/>
      <c r="G212" s="248"/>
      <c r="H212" s="248"/>
      <c r="I212" s="85"/>
      <c r="J212" s="12"/>
      <c r="K212" s="8"/>
      <c r="L212" s="13"/>
      <c r="M212" s="14"/>
      <c r="N212" s="8"/>
      <c r="O212" s="14"/>
      <c r="P212" s="12"/>
      <c r="Q212" s="99"/>
      <c r="R212" s="14"/>
      <c r="S212" s="99"/>
      <c r="T212" s="14"/>
      <c r="U212" s="23"/>
      <c r="V212" s="23"/>
      <c r="W212" s="117"/>
      <c r="X212" s="23"/>
      <c r="Y212" s="13"/>
    </row>
    <row r="213" spans="1:25" ht="14.25" hidden="1">
      <c r="A213" s="8"/>
      <c r="B213" s="8" t="s">
        <v>52</v>
      </c>
      <c r="C213" s="9"/>
      <c r="D213" s="11"/>
      <c r="E213" s="26"/>
      <c r="F213" s="99"/>
      <c r="G213" s="248"/>
      <c r="H213" s="248"/>
      <c r="I213" s="85"/>
      <c r="J213" s="12"/>
      <c r="K213" s="8"/>
      <c r="L213" s="13"/>
      <c r="M213" s="14"/>
      <c r="N213" s="8"/>
      <c r="O213" s="14"/>
      <c r="P213" s="12"/>
      <c r="Q213" s="99"/>
      <c r="R213" s="14"/>
      <c r="S213" s="99"/>
      <c r="T213" s="14"/>
      <c r="U213" s="23"/>
      <c r="V213" s="23"/>
      <c r="W213" s="117"/>
      <c r="X213" s="8"/>
      <c r="Y213" s="13"/>
    </row>
    <row r="214" spans="1:25" ht="14.25" hidden="1">
      <c r="A214" s="8"/>
      <c r="B214" s="8" t="s">
        <v>49</v>
      </c>
      <c r="C214" s="9" t="s">
        <v>74</v>
      </c>
      <c r="D214" s="8"/>
      <c r="E214" s="14"/>
      <c r="F214" s="99"/>
      <c r="G214" s="248"/>
      <c r="H214" s="248"/>
      <c r="I214" s="85"/>
      <c r="J214" s="12"/>
      <c r="K214" s="8"/>
      <c r="L214" s="13"/>
      <c r="M214" s="14"/>
      <c r="N214" s="8"/>
      <c r="O214" s="14"/>
      <c r="P214" s="12"/>
      <c r="Q214" s="99"/>
      <c r="R214" s="14"/>
      <c r="S214" s="99"/>
      <c r="T214" s="14"/>
      <c r="U214" s="23"/>
      <c r="V214" s="23"/>
      <c r="W214" s="117"/>
      <c r="X214" s="8"/>
      <c r="Y214" s="13"/>
    </row>
    <row r="215" spans="1:25" ht="16.5" hidden="1">
      <c r="A215" s="8"/>
      <c r="B215" s="8" t="s">
        <v>99</v>
      </c>
      <c r="C215" s="9" t="s">
        <v>107</v>
      </c>
      <c r="D215" s="11" t="s">
        <v>199</v>
      </c>
      <c r="E215" s="26">
        <f>2.782/10</f>
        <v>0.2782</v>
      </c>
      <c r="F215" s="180">
        <f>SUM(($Z$8*1.08*1.0952*1.5*1.15)/Z134*E215)</f>
        <v>12.956714315999998</v>
      </c>
      <c r="G215" s="250">
        <f>SUM(($Z$8*1.08*1.0952*G137*1.15)/Z134*E215)</f>
        <v>1.2956714315999998</v>
      </c>
      <c r="H215" s="250"/>
      <c r="I215" s="239">
        <f>(F215+G215+H215)*$I$12</f>
        <v>4.8743159256792</v>
      </c>
      <c r="J215" s="12"/>
      <c r="K215" s="8"/>
      <c r="L215" s="13"/>
      <c r="M215" s="14"/>
      <c r="N215" s="8"/>
      <c r="O215" s="24">
        <f>0.11/10*109.2</f>
        <v>1.2012</v>
      </c>
      <c r="P215" s="117">
        <f>3.38/10*22</f>
        <v>7.435999999999999</v>
      </c>
      <c r="Q215" s="114">
        <f>0.24/10*50</f>
        <v>1.2</v>
      </c>
      <c r="R215" s="24"/>
      <c r="S215" s="114"/>
      <c r="T215" s="24">
        <f>SUM(F215:S215)</f>
        <v>28.9639016732792</v>
      </c>
      <c r="U215" s="23">
        <f>(F215+G215+H215)*$U$13</f>
        <v>2.209119790878</v>
      </c>
      <c r="V215" s="23">
        <f>(F215+G215+H215)*$V$13</f>
        <v>11.116860883127998</v>
      </c>
      <c r="W215" s="117">
        <f>(T215+U215+V215)*$W$12</f>
        <v>6.34348235209278</v>
      </c>
      <c r="X215" s="23">
        <f>T215+U215+V215+W215</f>
        <v>48.63336469937798</v>
      </c>
      <c r="Y215" s="175">
        <f>X215*1.18</f>
        <v>57.387370345266014</v>
      </c>
    </row>
    <row r="216" spans="1:25" ht="14.25" hidden="1">
      <c r="A216" s="8">
        <v>32</v>
      </c>
      <c r="B216" s="8" t="s">
        <v>41</v>
      </c>
      <c r="C216" s="9"/>
      <c r="D216" s="8"/>
      <c r="E216" s="14"/>
      <c r="F216" s="99"/>
      <c r="G216" s="248"/>
      <c r="H216" s="248"/>
      <c r="I216" s="85"/>
      <c r="J216" s="12"/>
      <c r="K216" s="8"/>
      <c r="L216" s="13"/>
      <c r="M216" s="14"/>
      <c r="N216" s="8"/>
      <c r="O216" s="14"/>
      <c r="P216" s="12"/>
      <c r="Q216" s="99"/>
      <c r="R216" s="14"/>
      <c r="S216" s="99"/>
      <c r="T216" s="14"/>
      <c r="U216" s="23"/>
      <c r="V216" s="23"/>
      <c r="W216" s="117"/>
      <c r="X216" s="8"/>
      <c r="Y216" s="13"/>
    </row>
    <row r="217" spans="1:25" ht="14.25" hidden="1">
      <c r="A217" s="8"/>
      <c r="B217" s="8" t="s">
        <v>52</v>
      </c>
      <c r="C217" s="9"/>
      <c r="D217" s="8"/>
      <c r="E217" s="14"/>
      <c r="F217" s="99"/>
      <c r="G217" s="248"/>
      <c r="H217" s="248"/>
      <c r="I217" s="85"/>
      <c r="J217" s="12"/>
      <c r="K217" s="8"/>
      <c r="L217" s="13"/>
      <c r="M217" s="14"/>
      <c r="N217" s="8"/>
      <c r="O217" s="14"/>
      <c r="P217" s="12"/>
      <c r="Q217" s="99"/>
      <c r="R217" s="14"/>
      <c r="S217" s="99"/>
      <c r="T217" s="14"/>
      <c r="U217" s="23"/>
      <c r="V217" s="23"/>
      <c r="W217" s="117"/>
      <c r="X217" s="8"/>
      <c r="Y217" s="13"/>
    </row>
    <row r="218" spans="1:25" ht="14.25" hidden="1">
      <c r="A218" s="8"/>
      <c r="B218" s="8" t="s">
        <v>49</v>
      </c>
      <c r="C218" s="9" t="s">
        <v>74</v>
      </c>
      <c r="D218" s="8"/>
      <c r="E218" s="14"/>
      <c r="F218" s="99"/>
      <c r="G218" s="248"/>
      <c r="H218" s="248"/>
      <c r="I218" s="85"/>
      <c r="J218" s="12"/>
      <c r="K218" s="8"/>
      <c r="L218" s="13"/>
      <c r="M218" s="14"/>
      <c r="N218" s="8"/>
      <c r="O218" s="14"/>
      <c r="P218" s="12"/>
      <c r="Q218" s="99"/>
      <c r="R218" s="14"/>
      <c r="S218" s="99"/>
      <c r="T218" s="14"/>
      <c r="U218" s="23"/>
      <c r="V218" s="23"/>
      <c r="W218" s="117"/>
      <c r="X218" s="8"/>
      <c r="Y218" s="13"/>
    </row>
    <row r="219" spans="1:25" ht="16.5" hidden="1">
      <c r="A219" s="8"/>
      <c r="B219" s="8" t="s">
        <v>102</v>
      </c>
      <c r="C219" s="9" t="s">
        <v>111</v>
      </c>
      <c r="D219" s="11" t="s">
        <v>199</v>
      </c>
      <c r="E219" s="26">
        <f>3.202/10</f>
        <v>0.3202</v>
      </c>
      <c r="F219" s="180">
        <f>SUM(($Z$8*1.08*1.0952*1.5*1.15)/Z134*E219)</f>
        <v>14.912796275999996</v>
      </c>
      <c r="G219" s="250">
        <f>SUM(($Z$8*1.08*1.0952*G137*1.15)/Z134*E219)</f>
        <v>1.4912796275999998</v>
      </c>
      <c r="H219" s="250"/>
      <c r="I219" s="239">
        <f>(F219+G219+H219)*$I$12</f>
        <v>5.610193959031199</v>
      </c>
      <c r="J219" s="12"/>
      <c r="K219" s="8"/>
      <c r="L219" s="13"/>
      <c r="M219" s="14"/>
      <c r="N219" s="8"/>
      <c r="O219" s="24">
        <f>0.11/10*109.2</f>
        <v>1.2012</v>
      </c>
      <c r="P219" s="117">
        <f>3.38/10*22</f>
        <v>7.435999999999999</v>
      </c>
      <c r="Q219" s="114">
        <f>0.24/10*50</f>
        <v>1.2</v>
      </c>
      <c r="R219" s="24"/>
      <c r="S219" s="114"/>
      <c r="T219" s="24">
        <f>SUM(F219:S219)</f>
        <v>31.851469862631195</v>
      </c>
      <c r="U219" s="23">
        <f>(F219+G219+H219)*$U$13</f>
        <v>2.5426317650579993</v>
      </c>
      <c r="V219" s="23">
        <f>(F219+G219+H219)*$V$13</f>
        <v>12.795179204807997</v>
      </c>
      <c r="W219" s="117">
        <f>(T219+U219+V219)*$W$12</f>
        <v>7.078392124874578</v>
      </c>
      <c r="X219" s="23">
        <f>T219+U219+V219+W219</f>
        <v>54.267672957371765</v>
      </c>
      <c r="Y219" s="175">
        <f>X219*1.18</f>
        <v>64.03585408969867</v>
      </c>
    </row>
    <row r="220" spans="1:25" ht="14.25" hidden="1">
      <c r="A220" s="8">
        <v>33</v>
      </c>
      <c r="B220" s="8" t="s">
        <v>59</v>
      </c>
      <c r="C220" s="9" t="s">
        <v>74</v>
      </c>
      <c r="D220" s="8"/>
      <c r="E220" s="14"/>
      <c r="F220" s="99"/>
      <c r="G220" s="248"/>
      <c r="H220" s="248"/>
      <c r="I220" s="85"/>
      <c r="J220" s="12"/>
      <c r="K220" s="8"/>
      <c r="L220" s="13"/>
      <c r="M220" s="14"/>
      <c r="N220" s="8"/>
      <c r="O220" s="14"/>
      <c r="P220" s="12"/>
      <c r="Q220" s="99"/>
      <c r="R220" s="14"/>
      <c r="S220" s="99"/>
      <c r="T220" s="14"/>
      <c r="U220" s="23"/>
      <c r="V220" s="23"/>
      <c r="W220" s="117"/>
      <c r="X220" s="8"/>
      <c r="Y220" s="13"/>
    </row>
    <row r="221" spans="1:25" ht="16.5" hidden="1">
      <c r="A221" s="8"/>
      <c r="B221" s="8" t="s">
        <v>325</v>
      </c>
      <c r="C221" s="9" t="s">
        <v>112</v>
      </c>
      <c r="D221" s="11" t="s">
        <v>199</v>
      </c>
      <c r="E221" s="26">
        <f>5.262/10</f>
        <v>0.5262</v>
      </c>
      <c r="F221" s="180">
        <f>SUM(($Z$8*1.08*1.09*1.5*1.15)/Z134*E221)</f>
        <v>24.39055395</v>
      </c>
      <c r="G221" s="250">
        <f>SUM(($Z$8*1.08*1.09*G137*1.15)/Z134*E221)</f>
        <v>2.4390553950000005</v>
      </c>
      <c r="H221" s="250"/>
      <c r="I221" s="239">
        <f>(F221+G221+H221)*$I$12</f>
        <v>9.17572639599</v>
      </c>
      <c r="J221" s="12"/>
      <c r="K221" s="8"/>
      <c r="L221" s="13"/>
      <c r="M221" s="14"/>
      <c r="N221" s="8"/>
      <c r="O221" s="14"/>
      <c r="P221" s="12"/>
      <c r="Q221" s="99"/>
      <c r="R221" s="14"/>
      <c r="S221" s="99"/>
      <c r="T221" s="24">
        <f>SUM(F221:S221)</f>
        <v>36.005335740990006</v>
      </c>
      <c r="U221" s="23">
        <f>(F221+G221+H221)*$U$13</f>
        <v>4.158589448475</v>
      </c>
      <c r="V221" s="23">
        <f>(F221+G221+H221)*$V$13</f>
        <v>20.927095289100002</v>
      </c>
      <c r="W221" s="117">
        <f>(T221+U221+V221)*$W$12</f>
        <v>9.16365307178475</v>
      </c>
      <c r="X221" s="23">
        <f>T221+U221+V221+W221</f>
        <v>70.25467355034976</v>
      </c>
      <c r="Y221" s="175">
        <f>X221*1.18</f>
        <v>82.90051478941271</v>
      </c>
    </row>
    <row r="222" spans="1:25" ht="14.25" hidden="1">
      <c r="A222" s="8">
        <v>34</v>
      </c>
      <c r="B222" s="8" t="s">
        <v>59</v>
      </c>
      <c r="C222" s="9" t="s">
        <v>74</v>
      </c>
      <c r="D222" s="8"/>
      <c r="E222" s="14"/>
      <c r="F222" s="99"/>
      <c r="G222" s="248"/>
      <c r="H222" s="248"/>
      <c r="I222" s="85"/>
      <c r="J222" s="12"/>
      <c r="K222" s="8"/>
      <c r="L222" s="13"/>
      <c r="M222" s="14"/>
      <c r="N222" s="8"/>
      <c r="O222" s="14"/>
      <c r="P222" s="12"/>
      <c r="Q222" s="99"/>
      <c r="R222" s="14"/>
      <c r="S222" s="99"/>
      <c r="T222" s="14"/>
      <c r="U222" s="23"/>
      <c r="V222" s="23"/>
      <c r="W222" s="117"/>
      <c r="X222" s="8"/>
      <c r="Y222" s="13"/>
    </row>
    <row r="223" spans="1:25" ht="16.5" hidden="1">
      <c r="A223" s="8"/>
      <c r="B223" s="8" t="s">
        <v>326</v>
      </c>
      <c r="C223" s="9" t="s">
        <v>113</v>
      </c>
      <c r="D223" s="11" t="s">
        <v>199</v>
      </c>
      <c r="E223" s="26">
        <f>(5.262+1.04)/10</f>
        <v>0.6302</v>
      </c>
      <c r="F223" s="180">
        <f>SUM(($Z$8*1.08*1.09*1.5*1.15)/Z134*E223)</f>
        <v>29.211187950000003</v>
      </c>
      <c r="G223" s="250">
        <f>SUM(($Z$8*1.08*1.09*G137*1.15)/Z134*E223)</f>
        <v>2.9211187950000004</v>
      </c>
      <c r="H223" s="250"/>
      <c r="I223" s="239">
        <f aca="true" t="shared" si="7" ref="I223:I228">(F223+G223+H223)*$I$12</f>
        <v>10.989248906790001</v>
      </c>
      <c r="J223" s="12"/>
      <c r="K223" s="8"/>
      <c r="L223" s="13"/>
      <c r="M223" s="14"/>
      <c r="N223" s="8"/>
      <c r="O223" s="14"/>
      <c r="P223" s="12"/>
      <c r="Q223" s="99"/>
      <c r="R223" s="14"/>
      <c r="S223" s="99"/>
      <c r="T223" s="24">
        <f aca="true" t="shared" si="8" ref="T223:T228">SUM(F223:S223)</f>
        <v>43.121555651790004</v>
      </c>
      <c r="U223" s="23">
        <f aca="true" t="shared" si="9" ref="U223:U232">(F223+G223+H223)*$U$13</f>
        <v>4.9805075454750005</v>
      </c>
      <c r="V223" s="23">
        <f aca="true" t="shared" si="10" ref="V223:V231">(F223+G223+H223)*$V$13</f>
        <v>25.063199261100003</v>
      </c>
      <c r="W223" s="117">
        <f aca="true" t="shared" si="11" ref="W223:W232">(T223+U223+V223)*$W$12</f>
        <v>10.97478936875475</v>
      </c>
      <c r="X223" s="23">
        <f aca="true" t="shared" si="12" ref="X223:X228">T223+U223+V223+W223</f>
        <v>84.14005182711976</v>
      </c>
      <c r="Y223" s="175">
        <f aca="true" t="shared" si="13" ref="Y223:Y232">X223*1.18</f>
        <v>99.28526115600131</v>
      </c>
    </row>
    <row r="224" spans="1:25" ht="16.5" hidden="1">
      <c r="A224" s="8">
        <v>35</v>
      </c>
      <c r="B224" s="8" t="s">
        <v>60</v>
      </c>
      <c r="C224" s="9" t="s">
        <v>115</v>
      </c>
      <c r="D224" s="11" t="s">
        <v>199</v>
      </c>
      <c r="E224" s="26">
        <f>26.92/100</f>
        <v>0.2692</v>
      </c>
      <c r="F224" s="180">
        <f>SUM(($Z$8*1.08*1.09*1.5*1.15)/Z134*E224)</f>
        <v>12.478025700000002</v>
      </c>
      <c r="G224" s="250">
        <f>SUM(($Z$8*1.08*1.09*G137*1.15)/Z134*E224)</f>
        <v>1.2478025700000002</v>
      </c>
      <c r="H224" s="250"/>
      <c r="I224" s="239">
        <f t="shared" si="7"/>
        <v>4.6942332683400005</v>
      </c>
      <c r="J224" s="12"/>
      <c r="K224" s="23"/>
      <c r="L224" s="24"/>
      <c r="M224" s="23"/>
      <c r="N224" s="24"/>
      <c r="O224" s="23"/>
      <c r="P224" s="24"/>
      <c r="Q224" s="114"/>
      <c r="R224" s="24"/>
      <c r="S224" s="114"/>
      <c r="T224" s="24">
        <f t="shared" si="8"/>
        <v>18.42006153834</v>
      </c>
      <c r="U224" s="23">
        <f t="shared" si="9"/>
        <v>2.12750338185</v>
      </c>
      <c r="V224" s="23">
        <f t="shared" si="10"/>
        <v>10.706146050600001</v>
      </c>
      <c r="W224" s="117">
        <f t="shared" si="11"/>
        <v>4.6880566456185</v>
      </c>
      <c r="X224" s="23">
        <f t="shared" si="12"/>
        <v>35.941767616408505</v>
      </c>
      <c r="Y224" s="175">
        <f t="shared" si="13"/>
        <v>42.41128578736203</v>
      </c>
    </row>
    <row r="225" spans="1:25" ht="28.5" hidden="1">
      <c r="A225" s="118">
        <v>36</v>
      </c>
      <c r="B225" s="181" t="s">
        <v>327</v>
      </c>
      <c r="C225" s="119" t="s">
        <v>277</v>
      </c>
      <c r="D225" s="182" t="s">
        <v>199</v>
      </c>
      <c r="E225" s="183">
        <v>0.6</v>
      </c>
      <c r="F225" s="180">
        <f>SUM(($Z$8*1.075*1.5*1.15)/Z134*E225)</f>
        <v>25.396874999999998</v>
      </c>
      <c r="G225" s="250">
        <f>SUM(($Z$8*1.075*G137*1.15)/Z134*E225)</f>
        <v>2.5396875</v>
      </c>
      <c r="H225" s="250"/>
      <c r="I225" s="238">
        <f t="shared" si="7"/>
        <v>9.554304375</v>
      </c>
      <c r="J225" s="122"/>
      <c r="K225" s="120"/>
      <c r="L225" s="121"/>
      <c r="M225" s="120"/>
      <c r="N225" s="121"/>
      <c r="O225" s="120"/>
      <c r="P225" s="121"/>
      <c r="Q225" s="180"/>
      <c r="R225" s="121"/>
      <c r="S225" s="180"/>
      <c r="T225" s="121">
        <f t="shared" si="8"/>
        <v>37.490866874999995</v>
      </c>
      <c r="U225" s="23">
        <f t="shared" si="9"/>
        <v>4.3301671875</v>
      </c>
      <c r="V225" s="23">
        <f t="shared" si="10"/>
        <v>21.79051875</v>
      </c>
      <c r="W225" s="117">
        <f t="shared" si="11"/>
        <v>9.541732921874999</v>
      </c>
      <c r="X225" s="120">
        <f t="shared" si="12"/>
        <v>73.15328573437499</v>
      </c>
      <c r="Y225" s="177">
        <f t="shared" si="13"/>
        <v>86.32087716656248</v>
      </c>
    </row>
    <row r="226" spans="1:25" ht="16.5" hidden="1">
      <c r="A226" s="8">
        <v>37</v>
      </c>
      <c r="B226" s="8" t="s">
        <v>278</v>
      </c>
      <c r="C226" s="9" t="s">
        <v>279</v>
      </c>
      <c r="D226" s="11" t="s">
        <v>199</v>
      </c>
      <c r="E226" s="24">
        <v>0.65</v>
      </c>
      <c r="F226" s="180">
        <f>SUM(($Z$8*1.075*1.5*1.15)/Z134*E226)</f>
        <v>27.513281250000002</v>
      </c>
      <c r="G226" s="250">
        <f>SUM(($Z$8*1.075*G137*1.15)/Z134*E226)</f>
        <v>2.7513281249999997</v>
      </c>
      <c r="H226" s="250"/>
      <c r="I226" s="239">
        <f t="shared" si="7"/>
        <v>10.350496406250002</v>
      </c>
      <c r="J226" s="12"/>
      <c r="K226" s="23"/>
      <c r="L226" s="24"/>
      <c r="M226" s="23"/>
      <c r="N226" s="24"/>
      <c r="O226" s="23"/>
      <c r="P226" s="24"/>
      <c r="Q226" s="114"/>
      <c r="R226" s="24"/>
      <c r="S226" s="114"/>
      <c r="T226" s="24">
        <f t="shared" si="8"/>
        <v>40.61510578125001</v>
      </c>
      <c r="U226" s="23">
        <f t="shared" si="9"/>
        <v>4.691014453125001</v>
      </c>
      <c r="V226" s="23">
        <f t="shared" si="10"/>
        <v>23.606395312500002</v>
      </c>
      <c r="W226" s="117">
        <f t="shared" si="11"/>
        <v>10.336877332031252</v>
      </c>
      <c r="X226" s="23">
        <f t="shared" si="12"/>
        <v>79.24939287890626</v>
      </c>
      <c r="Y226" s="175">
        <f t="shared" si="13"/>
        <v>93.51428359710938</v>
      </c>
    </row>
    <row r="227" spans="1:25" ht="16.5" customHeight="1" hidden="1">
      <c r="A227" s="8">
        <v>38</v>
      </c>
      <c r="B227" s="8" t="s">
        <v>328</v>
      </c>
      <c r="C227" s="9" t="s">
        <v>206</v>
      </c>
      <c r="D227" s="11" t="s">
        <v>172</v>
      </c>
      <c r="E227" s="24">
        <f>0.164</f>
        <v>0.164</v>
      </c>
      <c r="F227" s="180">
        <f>SUM(($Z$8*1.09*1.5*1.15)/Z134*E227)</f>
        <v>7.0386750000000005</v>
      </c>
      <c r="G227" s="250">
        <f>SUM(($Z$8*1.09*G137*1.15)/Z134*E227)</f>
        <v>0.7038675000000001</v>
      </c>
      <c r="H227" s="249"/>
      <c r="I227" s="239">
        <f t="shared" si="7"/>
        <v>2.6479495350000004</v>
      </c>
      <c r="J227" s="12"/>
      <c r="K227" s="23"/>
      <c r="L227" s="24">
        <f>0.013*C249</f>
        <v>0.36621</v>
      </c>
      <c r="M227" s="23"/>
      <c r="N227" s="24"/>
      <c r="O227" s="23"/>
      <c r="P227" s="24"/>
      <c r="Q227" s="114"/>
      <c r="R227" s="24"/>
      <c r="S227" s="114"/>
      <c r="T227" s="24">
        <f t="shared" si="8"/>
        <v>10.756702035000002</v>
      </c>
      <c r="U227" s="23">
        <f t="shared" si="9"/>
        <v>1.2000940875000001</v>
      </c>
      <c r="V227" s="23">
        <f t="shared" si="10"/>
        <v>6.03918315</v>
      </c>
      <c r="W227" s="117">
        <f t="shared" si="11"/>
        <v>2.699396890875</v>
      </c>
      <c r="X227" s="23">
        <f t="shared" si="12"/>
        <v>20.695376163375002</v>
      </c>
      <c r="Y227" s="175">
        <f t="shared" si="13"/>
        <v>24.420543872782503</v>
      </c>
    </row>
    <row r="228" spans="1:25" ht="19.5" customHeight="1" hidden="1">
      <c r="A228" s="8">
        <v>39</v>
      </c>
      <c r="B228" s="8" t="s">
        <v>330</v>
      </c>
      <c r="C228" s="9" t="s">
        <v>204</v>
      </c>
      <c r="D228" s="11" t="s">
        <v>205</v>
      </c>
      <c r="E228" s="24">
        <v>0.18</v>
      </c>
      <c r="F228" s="180">
        <f>SUM(($Z$8*1.09*1.5*1.15)/Z134*E228)</f>
        <v>7.7253750000000005</v>
      </c>
      <c r="G228" s="250">
        <f>SUM(($Z$8*1.09*G137*1.15)/Z134*E228)</f>
        <v>0.7725375</v>
      </c>
      <c r="H228" s="249"/>
      <c r="I228" s="239">
        <f t="shared" si="7"/>
        <v>2.906286075</v>
      </c>
      <c r="J228" s="12"/>
      <c r="K228" s="23"/>
      <c r="L228" s="24">
        <f>0.013*C249</f>
        <v>0.36621</v>
      </c>
      <c r="M228" s="23"/>
      <c r="N228" s="24"/>
      <c r="O228" s="23"/>
      <c r="P228" s="24"/>
      <c r="Q228" s="114"/>
      <c r="R228" s="24"/>
      <c r="S228" s="114"/>
      <c r="T228" s="24">
        <f t="shared" si="8"/>
        <v>11.770408575000001</v>
      </c>
      <c r="U228" s="23">
        <f t="shared" si="9"/>
        <v>1.3171764375</v>
      </c>
      <c r="V228" s="23">
        <f t="shared" si="10"/>
        <v>6.62837175</v>
      </c>
      <c r="W228" s="117">
        <f t="shared" si="11"/>
        <v>2.9573935143750005</v>
      </c>
      <c r="X228" s="23">
        <f t="shared" si="12"/>
        <v>22.673350276875002</v>
      </c>
      <c r="Y228" s="175">
        <f t="shared" si="13"/>
        <v>26.7545533267125</v>
      </c>
    </row>
    <row r="229" spans="1:25" ht="19.5" customHeight="1" hidden="1">
      <c r="A229" s="8">
        <v>40</v>
      </c>
      <c r="B229" s="8" t="s">
        <v>329</v>
      </c>
      <c r="C229" s="9" t="s">
        <v>174</v>
      </c>
      <c r="D229" s="11" t="s">
        <v>173</v>
      </c>
      <c r="E229" s="24">
        <v>0.55</v>
      </c>
      <c r="F229" s="180">
        <f>SUM(($Z$8*1.0952*1.5*1.15)/Z134*E229)</f>
        <v>23.717924999999997</v>
      </c>
      <c r="G229" s="250">
        <f>SUM(($Z$8*1.0952*G137*1.15)/Z134*E229)</f>
        <v>2.3717924999999997</v>
      </c>
      <c r="H229" s="249"/>
      <c r="I229" s="239">
        <f>(F229+G229+H229)*$I$12</f>
        <v>8.922683385000001</v>
      </c>
      <c r="J229" s="12"/>
      <c r="K229" s="23"/>
      <c r="L229" s="24"/>
      <c r="M229" s="23"/>
      <c r="N229" s="24"/>
      <c r="O229" s="23"/>
      <c r="P229" s="24"/>
      <c r="Q229" s="114"/>
      <c r="R229" s="24"/>
      <c r="S229" s="114"/>
      <c r="T229" s="24">
        <f>SUM(F229:S229)</f>
        <v>35.012400885</v>
      </c>
      <c r="U229" s="23">
        <f t="shared" si="9"/>
        <v>4.0439062125</v>
      </c>
      <c r="V229" s="23">
        <f t="shared" si="10"/>
        <v>20.34997965</v>
      </c>
      <c r="W229" s="117">
        <f t="shared" si="11"/>
        <v>8.910943012125</v>
      </c>
      <c r="X229" s="23">
        <f>T229+U229+V229+W229</f>
        <v>68.317229759625</v>
      </c>
      <c r="Y229" s="175">
        <f t="shared" si="13"/>
        <v>80.61433111635749</v>
      </c>
    </row>
    <row r="230" spans="1:25" ht="19.5" customHeight="1" hidden="1">
      <c r="A230" s="8" t="s">
        <v>424</v>
      </c>
      <c r="B230" s="8" t="s">
        <v>423</v>
      </c>
      <c r="C230" s="9" t="s">
        <v>422</v>
      </c>
      <c r="D230" s="11" t="s">
        <v>173</v>
      </c>
      <c r="E230" s="24">
        <v>0.48</v>
      </c>
      <c r="F230" s="180">
        <f>SUM(($Z$8*1.268*1.5*1.15)/Z134*E230)</f>
        <v>23.965199999999996</v>
      </c>
      <c r="G230" s="250">
        <f>SUM(($Z$8*1.268*G137*1.15)/Z134*E230)</f>
        <v>2.3965199999999998</v>
      </c>
      <c r="H230" s="249"/>
      <c r="I230" s="239">
        <f>(F230+G230+H230)*$I$12</f>
        <v>9.015708239999999</v>
      </c>
      <c r="J230" s="12"/>
      <c r="K230" s="23"/>
      <c r="L230" s="24"/>
      <c r="M230" s="23"/>
      <c r="N230" s="24"/>
      <c r="O230" s="23"/>
      <c r="P230" s="24"/>
      <c r="Q230" s="114"/>
      <c r="R230" s="24"/>
      <c r="S230" s="114"/>
      <c r="T230" s="24">
        <f>SUM(F230:S230)</f>
        <v>35.37742823999999</v>
      </c>
      <c r="U230" s="23">
        <f t="shared" si="9"/>
        <v>4.086066599999999</v>
      </c>
      <c r="V230" s="23">
        <f>(F230+G230+H230)*$V$138</f>
        <v>17.978693039999996</v>
      </c>
      <c r="W230" s="117">
        <f t="shared" si="11"/>
        <v>8.616328181999998</v>
      </c>
      <c r="X230" s="23">
        <f>T230+U230+V230+W230</f>
        <v>66.058516062</v>
      </c>
      <c r="Y230" s="175">
        <f t="shared" si="13"/>
        <v>77.94904895315999</v>
      </c>
    </row>
    <row r="231" spans="1:25" ht="19.5" customHeight="1" hidden="1" thickBot="1">
      <c r="A231" s="8">
        <v>41</v>
      </c>
      <c r="B231" s="8" t="s">
        <v>0</v>
      </c>
      <c r="C231" s="83" t="s">
        <v>114</v>
      </c>
      <c r="D231" s="28" t="s">
        <v>141</v>
      </c>
      <c r="E231" s="116">
        <f>1.209/10</f>
        <v>0.12090000000000001</v>
      </c>
      <c r="F231" s="252">
        <f>SUM(($Z$8*1.09*1.5*1.15)/Z134*E231)</f>
        <v>5.188876875000001</v>
      </c>
      <c r="G231" s="253">
        <f>SUM(($Z$8*1.09*G137*1.15)/Z134*E231)</f>
        <v>0.5188876875</v>
      </c>
      <c r="H231" s="251"/>
      <c r="I231" s="247">
        <f>(F231+G231+H231)*$I$12</f>
        <v>1.9520554803750005</v>
      </c>
      <c r="J231" s="19"/>
      <c r="K231" s="30"/>
      <c r="L231" s="32">
        <f>0.03/10*C249</f>
        <v>0.08451</v>
      </c>
      <c r="M231" s="30"/>
      <c r="N231" s="32"/>
      <c r="O231" s="30"/>
      <c r="P231" s="32"/>
      <c r="Q231" s="237"/>
      <c r="R231" s="32"/>
      <c r="S231" s="237"/>
      <c r="T231" s="30">
        <f>SUM(F231:S231)</f>
        <v>7.744330042875002</v>
      </c>
      <c r="U231" s="30">
        <f t="shared" si="9"/>
        <v>0.8847035071875002</v>
      </c>
      <c r="V231" s="30">
        <f t="shared" si="10"/>
        <v>4.452056358750001</v>
      </c>
      <c r="W231" s="178">
        <f t="shared" si="11"/>
        <v>1.9621634863218753</v>
      </c>
      <c r="X231" s="30">
        <f>T231+U231+V231+W231</f>
        <v>15.043253395134379</v>
      </c>
      <c r="Y231" s="179">
        <f t="shared" si="13"/>
        <v>17.751039006258566</v>
      </c>
    </row>
    <row r="232" spans="1:25" ht="32.25" customHeight="1" hidden="1" thickBot="1">
      <c r="A232" s="69">
        <v>42</v>
      </c>
      <c r="B232" s="361" t="s">
        <v>425</v>
      </c>
      <c r="C232" s="10" t="s">
        <v>426</v>
      </c>
      <c r="D232" s="10" t="s">
        <v>229</v>
      </c>
      <c r="E232" s="26">
        <v>0.149</v>
      </c>
      <c r="F232" s="252">
        <f>SUM(($Z$8*1.09*1.5*1.15)/Z134*E232)</f>
        <v>6.3948937500000005</v>
      </c>
      <c r="G232" s="253">
        <f>SUM(($Z$8*1.09*G137*1.15)/Z134*E232)</f>
        <v>0.639489375</v>
      </c>
      <c r="H232" s="239"/>
      <c r="I232" s="247">
        <f>(F232+G232+H232)*$I$12</f>
        <v>2.4057590287500004</v>
      </c>
      <c r="J232" s="14"/>
      <c r="K232" s="24"/>
      <c r="L232" s="24"/>
      <c r="M232" s="24"/>
      <c r="N232" s="24"/>
      <c r="O232" s="24"/>
      <c r="P232" s="24"/>
      <c r="Q232" s="239"/>
      <c r="R232" s="24"/>
      <c r="S232" s="239"/>
      <c r="T232" s="30">
        <f>SUM(F232:S232)</f>
        <v>9.440142153750001</v>
      </c>
      <c r="U232" s="30">
        <f t="shared" si="9"/>
        <v>1.0903293843750002</v>
      </c>
      <c r="V232" s="30">
        <f>(F232+G232+H232)*$V$138</f>
        <v>4.79744929125</v>
      </c>
      <c r="W232" s="178">
        <f t="shared" si="11"/>
        <v>2.29918812440625</v>
      </c>
      <c r="X232" s="30">
        <f>T232+U232+V232+W232</f>
        <v>17.627108953781253</v>
      </c>
      <c r="Y232" s="179">
        <f t="shared" si="13"/>
        <v>20.799988565461877</v>
      </c>
    </row>
    <row r="233" spans="4:23" ht="14.25" hidden="1">
      <c r="D233" s="31"/>
      <c r="E233" s="27"/>
      <c r="F233" s="239"/>
      <c r="G233" s="239"/>
      <c r="H233" s="239"/>
      <c r="I233" s="239"/>
      <c r="T233" s="25"/>
      <c r="U233" s="24"/>
      <c r="V233" s="24"/>
      <c r="W233" s="24"/>
    </row>
    <row r="234" spans="2:7" ht="15" hidden="1">
      <c r="B234" s="1" t="s">
        <v>118</v>
      </c>
      <c r="C234" s="1"/>
      <c r="F234" s="231"/>
      <c r="G234" s="231"/>
    </row>
    <row r="235" spans="2:7" ht="14.25" hidden="1">
      <c r="B235" s="2" t="s">
        <v>119</v>
      </c>
      <c r="F235" s="231"/>
      <c r="G235" s="231"/>
    </row>
    <row r="236" spans="6:7" ht="14.25" hidden="1">
      <c r="F236" s="231"/>
      <c r="G236" s="231"/>
    </row>
    <row r="237" spans="2:24" ht="14.25" hidden="1">
      <c r="B237" s="2" t="s">
        <v>190</v>
      </c>
      <c r="F237" s="231"/>
      <c r="G237" s="231"/>
      <c r="X237" s="2" t="s">
        <v>144</v>
      </c>
    </row>
    <row r="238" spans="6:7" ht="14.25" hidden="1">
      <c r="F238" s="231"/>
      <c r="G238" s="231"/>
    </row>
    <row r="239" spans="2:24" ht="14.25" hidden="1">
      <c r="B239" s="2" t="s">
        <v>191</v>
      </c>
      <c r="F239" s="231"/>
      <c r="G239" s="231"/>
      <c r="X239" s="2" t="s">
        <v>339</v>
      </c>
    </row>
    <row r="240" spans="6:7" ht="14.25" hidden="1">
      <c r="F240" s="231"/>
      <c r="G240" s="231"/>
    </row>
    <row r="241" spans="2:7" ht="14.25" hidden="1">
      <c r="B241" s="2" t="s">
        <v>231</v>
      </c>
      <c r="F241" s="231"/>
      <c r="G241" s="231"/>
    </row>
    <row r="242" spans="2:24" ht="14.25" hidden="1">
      <c r="B242" s="2" t="s">
        <v>7</v>
      </c>
      <c r="F242" s="231"/>
      <c r="G242" s="231"/>
      <c r="X242" s="2" t="s">
        <v>338</v>
      </c>
    </row>
    <row r="243" spans="6:7" ht="14.25" hidden="1">
      <c r="F243" s="231"/>
      <c r="G243" s="231"/>
    </row>
    <row r="244" spans="2:7" ht="14.25" hidden="1">
      <c r="B244" s="2" t="s">
        <v>299</v>
      </c>
      <c r="C244" s="230">
        <f>49898.87/1000</f>
        <v>49.89887</v>
      </c>
      <c r="D244" s="2" t="s">
        <v>297</v>
      </c>
      <c r="E244" s="229">
        <v>39783</v>
      </c>
      <c r="F244" s="231" t="s">
        <v>298</v>
      </c>
      <c r="G244" s="231"/>
    </row>
    <row r="245" spans="2:7" ht="14.25" hidden="1">
      <c r="B245" s="2" t="s">
        <v>300</v>
      </c>
      <c r="C245" s="230">
        <f>94.35/1000</f>
        <v>0.09434999999999999</v>
      </c>
      <c r="D245" s="2" t="s">
        <v>297</v>
      </c>
      <c r="E245" s="229">
        <v>39783</v>
      </c>
      <c r="F245" s="231" t="s">
        <v>301</v>
      </c>
      <c r="G245" s="231"/>
    </row>
    <row r="246" spans="2:7" ht="14.25" hidden="1">
      <c r="B246" s="2" t="s">
        <v>365</v>
      </c>
      <c r="C246" s="230">
        <f>48516/1000</f>
        <v>48.516</v>
      </c>
      <c r="D246" s="2" t="s">
        <v>297</v>
      </c>
      <c r="E246" s="229">
        <v>39783</v>
      </c>
      <c r="F246" s="231" t="s">
        <v>302</v>
      </c>
      <c r="G246" s="231"/>
    </row>
    <row r="247" spans="2:7" ht="14.25" hidden="1">
      <c r="B247" s="2" t="s">
        <v>305</v>
      </c>
      <c r="C247" s="230">
        <f>12457.63/1000</f>
        <v>12.45763</v>
      </c>
      <c r="D247" s="2" t="s">
        <v>297</v>
      </c>
      <c r="E247" s="229">
        <v>39783</v>
      </c>
      <c r="F247" s="231" t="s">
        <v>366</v>
      </c>
      <c r="G247" s="231"/>
    </row>
    <row r="248" spans="2:7" ht="14.25" hidden="1">
      <c r="B248" s="2" t="s">
        <v>307</v>
      </c>
      <c r="C248" s="230">
        <f>5310/1000</f>
        <v>5.31</v>
      </c>
      <c r="D248" s="2" t="s">
        <v>297</v>
      </c>
      <c r="E248" s="229">
        <v>39783</v>
      </c>
      <c r="F248" s="231" t="s">
        <v>308</v>
      </c>
      <c r="G248" s="231"/>
    </row>
    <row r="249" spans="2:7" ht="14.25" hidden="1">
      <c r="B249" s="2" t="s">
        <v>363</v>
      </c>
      <c r="C249" s="31">
        <v>28.17</v>
      </c>
      <c r="D249" s="2" t="s">
        <v>303</v>
      </c>
      <c r="E249" s="229">
        <v>39783</v>
      </c>
      <c r="F249" s="231" t="s">
        <v>362</v>
      </c>
      <c r="G249" s="231"/>
    </row>
    <row r="250" spans="2:7" ht="14.25" hidden="1">
      <c r="B250" s="2" t="s">
        <v>367</v>
      </c>
      <c r="C250" s="31">
        <f>109.2</f>
        <v>109.2</v>
      </c>
      <c r="D250" s="2" t="s">
        <v>304</v>
      </c>
      <c r="F250" s="231"/>
      <c r="G250" s="231"/>
    </row>
    <row r="251" spans="2:7" ht="14.25" hidden="1">
      <c r="B251" s="2" t="s">
        <v>364</v>
      </c>
      <c r="C251" s="31">
        <v>2.97</v>
      </c>
      <c r="D251" s="2" t="s">
        <v>306</v>
      </c>
      <c r="E251" s="229">
        <v>39783</v>
      </c>
      <c r="F251" s="231" t="s">
        <v>361</v>
      </c>
      <c r="G251" s="231"/>
    </row>
    <row r="252" spans="6:7" ht="14.25">
      <c r="F252" s="231"/>
      <c r="G252" s="231"/>
    </row>
  </sheetData>
  <sheetProtection/>
  <mergeCells count="18">
    <mergeCell ref="A131:Y131"/>
    <mergeCell ref="A132:Y132"/>
    <mergeCell ref="A133:Y133"/>
    <mergeCell ref="A135:A138"/>
    <mergeCell ref="B135:B138"/>
    <mergeCell ref="C135:C138"/>
    <mergeCell ref="D135:D138"/>
    <mergeCell ref="U135:U137"/>
    <mergeCell ref="V135:V137"/>
    <mergeCell ref="V10:V12"/>
    <mergeCell ref="A6:Y6"/>
    <mergeCell ref="A7:Y7"/>
    <mergeCell ref="A8:Y8"/>
    <mergeCell ref="A10:A13"/>
    <mergeCell ref="B10:B13"/>
    <mergeCell ref="C10:C13"/>
    <mergeCell ref="D10:D13"/>
    <mergeCell ref="U10:U12"/>
  </mergeCells>
  <printOptions/>
  <pageMargins left="0.6" right="0.15748031496062992" top="0.5905511811023623" bottom="1.4566929133858268" header="0.15748031496062992" footer="0.15748031496062992"/>
  <pageSetup horizontalDpi="600" verticalDpi="600" orientation="portrait" paperSize="9" scale="87" r:id="rId1"/>
  <rowBreaks count="3" manualBreakCount="3">
    <brk id="54" max="24" man="1"/>
    <brk id="100" max="255" man="1"/>
    <brk id="11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129"/>
  <sheetViews>
    <sheetView zoomScalePageLayoutView="0" workbookViewId="0" topLeftCell="A98">
      <selection activeCell="A1" sqref="A1:IV85"/>
    </sheetView>
  </sheetViews>
  <sheetFormatPr defaultColWidth="9.00390625" defaultRowHeight="12.75"/>
  <cols>
    <col min="1" max="1" width="4.125" style="115" customWidth="1"/>
    <col min="2" max="2" width="66.75390625" style="115" customWidth="1"/>
    <col min="3" max="3" width="12.25390625" style="115" customWidth="1"/>
    <col min="4" max="16384" width="9.125" style="115" customWidth="1"/>
  </cols>
  <sheetData>
    <row r="1" spans="1:4" ht="15.75" hidden="1">
      <c r="A1" s="304"/>
      <c r="B1" s="304"/>
      <c r="C1" s="304"/>
      <c r="D1" s="304"/>
    </row>
    <row r="2" spans="1:4" ht="15.75" hidden="1">
      <c r="A2" s="304"/>
      <c r="B2" s="304"/>
      <c r="C2" s="304"/>
      <c r="D2" s="304"/>
    </row>
    <row r="3" spans="1:3" ht="15.75" hidden="1">
      <c r="A3" s="304"/>
      <c r="B3" s="304" t="s">
        <v>342</v>
      </c>
      <c r="C3" s="304"/>
    </row>
    <row r="4" spans="1:3" ht="15.75" hidden="1">
      <c r="A4" s="304"/>
      <c r="B4" s="304" t="s">
        <v>343</v>
      </c>
      <c r="C4" s="304"/>
    </row>
    <row r="5" spans="1:3" ht="15.75" hidden="1">
      <c r="A5" s="304"/>
      <c r="B5" s="304" t="s">
        <v>409</v>
      </c>
      <c r="C5" s="304"/>
    </row>
    <row r="6" spans="1:3" ht="15.75" hidden="1">
      <c r="A6" s="304"/>
      <c r="B6" s="304" t="s">
        <v>410</v>
      </c>
      <c r="C6" s="304"/>
    </row>
    <row r="7" spans="1:3" ht="15.75" hidden="1">
      <c r="A7" s="304"/>
      <c r="B7" s="304"/>
      <c r="C7" s="304"/>
    </row>
    <row r="8" spans="1:3" ht="15.75" hidden="1">
      <c r="A8" s="304"/>
      <c r="B8" s="304"/>
      <c r="C8" s="304"/>
    </row>
    <row r="9" spans="1:3" ht="15.75" hidden="1">
      <c r="A9" s="449" t="s">
        <v>344</v>
      </c>
      <c r="B9" s="449"/>
      <c r="C9" s="449"/>
    </row>
    <row r="10" spans="1:3" ht="15.75" hidden="1">
      <c r="A10" s="304"/>
      <c r="B10" s="304"/>
      <c r="C10" s="304"/>
    </row>
    <row r="11" spans="1:3" ht="15.75" hidden="1">
      <c r="A11" s="449" t="s">
        <v>407</v>
      </c>
      <c r="B11" s="449"/>
      <c r="C11" s="449"/>
    </row>
    <row r="12" spans="1:3" ht="15.75" hidden="1">
      <c r="A12" s="449" t="s">
        <v>408</v>
      </c>
      <c r="B12" s="449"/>
      <c r="C12" s="449"/>
    </row>
    <row r="13" spans="1:3" ht="15.75" hidden="1">
      <c r="A13" s="304"/>
      <c r="B13" s="304"/>
      <c r="C13" s="304"/>
    </row>
    <row r="14" spans="1:3" ht="16.5" hidden="1" thickBot="1">
      <c r="A14" s="304"/>
      <c r="B14" s="304"/>
      <c r="C14" s="305" t="s">
        <v>404</v>
      </c>
    </row>
    <row r="15" spans="1:3" ht="15.75" hidden="1">
      <c r="A15" s="306" t="s">
        <v>345</v>
      </c>
      <c r="B15" s="307" t="s">
        <v>346</v>
      </c>
      <c r="C15" s="327" t="s">
        <v>347</v>
      </c>
    </row>
    <row r="16" spans="1:6" ht="16.5" hidden="1" thickBot="1">
      <c r="A16" s="308"/>
      <c r="B16" s="308"/>
      <c r="C16" s="308"/>
      <c r="F16" s="115">
        <v>3500</v>
      </c>
    </row>
    <row r="17" spans="1:3" ht="15.75" hidden="1">
      <c r="A17" s="451">
        <v>1</v>
      </c>
      <c r="B17" s="309" t="s">
        <v>348</v>
      </c>
      <c r="C17" s="306"/>
    </row>
    <row r="18" spans="1:3" ht="15.75" hidden="1">
      <c r="A18" s="452"/>
      <c r="B18" s="311" t="s">
        <v>349</v>
      </c>
      <c r="C18" s="311"/>
    </row>
    <row r="19" spans="1:3" ht="15.75" hidden="1">
      <c r="A19" s="452"/>
      <c r="B19" s="311" t="s">
        <v>350</v>
      </c>
      <c r="C19" s="311"/>
    </row>
    <row r="20" spans="1:3" ht="15.75" hidden="1">
      <c r="A20" s="452"/>
      <c r="B20" s="311" t="s">
        <v>351</v>
      </c>
      <c r="C20" s="311"/>
    </row>
    <row r="21" spans="1:3" ht="15.75" hidden="1">
      <c r="A21" s="452"/>
      <c r="B21" s="311" t="s">
        <v>352</v>
      </c>
      <c r="C21" s="311"/>
    </row>
    <row r="22" spans="1:3" ht="15.75" hidden="1">
      <c r="A22" s="452"/>
      <c r="B22" s="311" t="s">
        <v>353</v>
      </c>
      <c r="C22" s="311"/>
    </row>
    <row r="23" spans="1:3" ht="15.75" hidden="1">
      <c r="A23" s="452"/>
      <c r="B23" s="312" t="s">
        <v>354</v>
      </c>
      <c r="C23" s="310"/>
    </row>
    <row r="24" spans="1:3" ht="15.75" hidden="1">
      <c r="A24" s="452"/>
      <c r="B24" s="311" t="s">
        <v>402</v>
      </c>
      <c r="C24" s="313">
        <f>(F16*1.09*1.35*1.15+F16*1.09*0.3*1.15)/165.6*1.5</f>
        <v>65.5703125</v>
      </c>
    </row>
    <row r="25" spans="1:3" ht="15.75" hidden="1">
      <c r="A25" s="452"/>
      <c r="B25" s="312" t="s">
        <v>355</v>
      </c>
      <c r="C25" s="313"/>
    </row>
    <row r="26" spans="1:3" ht="15.75" hidden="1">
      <c r="A26" s="452"/>
      <c r="B26" s="311" t="s">
        <v>403</v>
      </c>
      <c r="C26" s="313">
        <f>(F16*1.699*1.5*1.15+F16*1.699*0.3*1.15)/165.6*1.5</f>
        <v>111.49687499999999</v>
      </c>
    </row>
    <row r="27" spans="1:3" ht="15.75" hidden="1">
      <c r="A27" s="452"/>
      <c r="B27" s="311" t="s">
        <v>356</v>
      </c>
      <c r="C27" s="313">
        <f>SUM(C24:C26)</f>
        <v>177.0671875</v>
      </c>
    </row>
    <row r="28" spans="1:6" ht="16.5" hidden="1" thickBot="1">
      <c r="A28" s="453"/>
      <c r="B28" s="314" t="s">
        <v>401</v>
      </c>
      <c r="C28" s="315">
        <f>C27*F28</f>
        <v>46.391603124999996</v>
      </c>
      <c r="F28" s="316">
        <v>0.262</v>
      </c>
    </row>
    <row r="29" spans="1:6" ht="16.5" hidden="1" thickBot="1">
      <c r="A29" s="310">
        <v>2</v>
      </c>
      <c r="B29" s="328" t="s">
        <v>411</v>
      </c>
      <c r="C29" s="313">
        <f>C27*F29</f>
        <v>48.6934765625</v>
      </c>
      <c r="F29" s="316">
        <v>0.275</v>
      </c>
    </row>
    <row r="30" spans="1:6" ht="15.75" hidden="1">
      <c r="A30" s="454">
        <v>3</v>
      </c>
      <c r="B30" s="317" t="s">
        <v>400</v>
      </c>
      <c r="C30" s="318">
        <f>SUM(C27*F30)</f>
        <v>113.8542015625</v>
      </c>
      <c r="F30" s="316">
        <v>0.643</v>
      </c>
    </row>
    <row r="31" spans="1:3" ht="15.75" hidden="1">
      <c r="A31" s="455"/>
      <c r="B31" s="319" t="s">
        <v>196</v>
      </c>
      <c r="C31" s="320">
        <f>SUM(C27:C30)</f>
        <v>386.00646875</v>
      </c>
    </row>
    <row r="32" spans="1:6" ht="15.75" hidden="1">
      <c r="A32" s="455"/>
      <c r="B32" s="319" t="s">
        <v>405</v>
      </c>
      <c r="C32" s="320">
        <f>C31*F32</f>
        <v>19.3003234375</v>
      </c>
      <c r="F32" s="321">
        <v>0.05</v>
      </c>
    </row>
    <row r="33" spans="1:3" ht="15.75" hidden="1">
      <c r="A33" s="455"/>
      <c r="B33" s="319" t="s">
        <v>406</v>
      </c>
      <c r="C33" s="320">
        <f>C31+C32</f>
        <v>405.30679218750004</v>
      </c>
    </row>
    <row r="34" spans="1:6" ht="16.5" hidden="1" thickBot="1">
      <c r="A34" s="456"/>
      <c r="B34" s="322" t="s">
        <v>360</v>
      </c>
      <c r="C34" s="323">
        <f>SUM(C33*F34)</f>
        <v>72.95522259375001</v>
      </c>
      <c r="F34" s="321">
        <v>0.18</v>
      </c>
    </row>
    <row r="35" spans="1:3" ht="16.5" hidden="1" thickBot="1">
      <c r="A35" s="324"/>
      <c r="B35" s="325" t="s">
        <v>357</v>
      </c>
      <c r="C35" s="326">
        <f>C33+C34</f>
        <v>478.26201478125006</v>
      </c>
    </row>
    <row r="36" spans="1:3" ht="15.75" hidden="1">
      <c r="A36" s="304"/>
      <c r="B36" s="304"/>
      <c r="C36" s="304"/>
    </row>
    <row r="37" spans="1:3" ht="15.75" hidden="1">
      <c r="A37" s="304"/>
      <c r="B37" s="304"/>
      <c r="C37" s="304"/>
    </row>
    <row r="38" spans="1:3" ht="15.75" hidden="1">
      <c r="A38" s="304"/>
      <c r="B38" s="304" t="s">
        <v>358</v>
      </c>
      <c r="C38" s="304" t="s">
        <v>285</v>
      </c>
    </row>
    <row r="39" spans="1:3" ht="15.75" hidden="1">
      <c r="A39" s="304"/>
      <c r="B39" s="304"/>
      <c r="C39" s="304"/>
    </row>
    <row r="40" spans="1:3" ht="15.75" hidden="1">
      <c r="A40" s="304"/>
      <c r="B40" s="304" t="s">
        <v>359</v>
      </c>
      <c r="C40" s="304" t="s">
        <v>397</v>
      </c>
    </row>
    <row r="41" ht="12.75" hidden="1"/>
    <row r="42" spans="1:3" ht="15.75" hidden="1">
      <c r="A42" s="449" t="s">
        <v>418</v>
      </c>
      <c r="B42" s="449"/>
      <c r="C42" s="449"/>
    </row>
    <row r="43" spans="1:3" ht="15.75" hidden="1">
      <c r="A43" s="304"/>
      <c r="B43" s="304" t="s">
        <v>343</v>
      </c>
      <c r="C43" s="304"/>
    </row>
    <row r="44" spans="1:3" ht="15.75" hidden="1">
      <c r="A44" s="304"/>
      <c r="B44" s="450" t="s">
        <v>409</v>
      </c>
      <c r="C44" s="450"/>
    </row>
    <row r="45" spans="1:3" ht="21.75" customHeight="1" hidden="1">
      <c r="A45" s="304"/>
      <c r="B45" s="450" t="s">
        <v>410</v>
      </c>
      <c r="C45" s="450"/>
    </row>
    <row r="46" spans="1:3" ht="15.75" hidden="1">
      <c r="A46" s="304"/>
      <c r="B46" s="304"/>
      <c r="C46" s="304"/>
    </row>
    <row r="47" spans="1:3" ht="15.75" hidden="1">
      <c r="A47" s="304"/>
      <c r="B47" s="304"/>
      <c r="C47" s="304"/>
    </row>
    <row r="48" spans="1:3" ht="30" customHeight="1" hidden="1">
      <c r="A48" s="449" t="s">
        <v>344</v>
      </c>
      <c r="B48" s="449"/>
      <c r="C48" s="449"/>
    </row>
    <row r="49" spans="1:3" ht="15.75" hidden="1">
      <c r="A49" s="304"/>
      <c r="B49" s="304"/>
      <c r="C49" s="304"/>
    </row>
    <row r="50" spans="1:3" ht="15.75" hidden="1">
      <c r="A50" s="449" t="s">
        <v>407</v>
      </c>
      <c r="B50" s="449"/>
      <c r="C50" s="449"/>
    </row>
    <row r="51" spans="1:3" ht="15.75" hidden="1">
      <c r="A51" s="449" t="s">
        <v>408</v>
      </c>
      <c r="B51" s="449"/>
      <c r="C51" s="449"/>
    </row>
    <row r="52" spans="1:3" ht="15.75" hidden="1">
      <c r="A52" s="304"/>
      <c r="B52" s="304"/>
      <c r="C52" s="304"/>
    </row>
    <row r="53" spans="1:3" ht="16.5" hidden="1" thickBot="1">
      <c r="A53" s="304"/>
      <c r="B53" s="304"/>
      <c r="C53" s="305" t="s">
        <v>404</v>
      </c>
    </row>
    <row r="54" spans="1:3" ht="15.75" hidden="1">
      <c r="A54" s="306" t="s">
        <v>345</v>
      </c>
      <c r="B54" s="307" t="s">
        <v>346</v>
      </c>
      <c r="C54" s="327" t="s">
        <v>347</v>
      </c>
    </row>
    <row r="55" spans="1:6" ht="16.5" hidden="1" thickBot="1">
      <c r="A55" s="308"/>
      <c r="B55" s="308"/>
      <c r="C55" s="308"/>
      <c r="F55" s="115">
        <v>3500</v>
      </c>
    </row>
    <row r="56" spans="1:3" ht="15.75" hidden="1">
      <c r="A56" s="451">
        <v>1</v>
      </c>
      <c r="B56" s="309" t="s">
        <v>348</v>
      </c>
      <c r="C56" s="306"/>
    </row>
    <row r="57" spans="1:3" ht="15.75" hidden="1">
      <c r="A57" s="452"/>
      <c r="B57" s="311" t="s">
        <v>349</v>
      </c>
      <c r="C57" s="311"/>
    </row>
    <row r="58" spans="1:3" ht="15.75" hidden="1">
      <c r="A58" s="452"/>
      <c r="B58" s="311" t="s">
        <v>350</v>
      </c>
      <c r="C58" s="311"/>
    </row>
    <row r="59" spans="1:3" ht="15.75" hidden="1">
      <c r="A59" s="452"/>
      <c r="B59" s="311" t="s">
        <v>351</v>
      </c>
      <c r="C59" s="311"/>
    </row>
    <row r="60" spans="1:3" ht="15.75" hidden="1">
      <c r="A60" s="452"/>
      <c r="B60" s="311" t="s">
        <v>352</v>
      </c>
      <c r="C60" s="311"/>
    </row>
    <row r="61" spans="1:3" ht="15.75" hidden="1">
      <c r="A61" s="452"/>
      <c r="B61" s="311" t="s">
        <v>353</v>
      </c>
      <c r="C61" s="311"/>
    </row>
    <row r="62" spans="1:3" ht="15.75" hidden="1">
      <c r="A62" s="452"/>
      <c r="B62" s="312" t="s">
        <v>354</v>
      </c>
      <c r="C62" s="310"/>
    </row>
    <row r="63" spans="1:3" ht="15.75" hidden="1">
      <c r="A63" s="452"/>
      <c r="B63" s="311" t="s">
        <v>402</v>
      </c>
      <c r="C63" s="313">
        <f>(F55*1.09*1.35*1.15+F55*1.09*0.3*1.15)/165.6*1.5</f>
        <v>65.5703125</v>
      </c>
    </row>
    <row r="64" spans="1:3" ht="15.75" hidden="1">
      <c r="A64" s="452"/>
      <c r="B64" s="312" t="s">
        <v>355</v>
      </c>
      <c r="C64" s="313"/>
    </row>
    <row r="65" spans="1:3" ht="15.75" hidden="1">
      <c r="A65" s="452"/>
      <c r="B65" s="311" t="s">
        <v>403</v>
      </c>
      <c r="C65" s="313">
        <f>(F55*1.699*1.5*1.15+F55*1.699*0.3*1.15)/165.6*1.5</f>
        <v>111.49687499999999</v>
      </c>
    </row>
    <row r="66" spans="1:3" ht="15.75" hidden="1">
      <c r="A66" s="452"/>
      <c r="B66" s="311" t="s">
        <v>356</v>
      </c>
      <c r="C66" s="313">
        <f>SUM(C63:C65)</f>
        <v>177.0671875</v>
      </c>
    </row>
    <row r="67" spans="1:6" ht="16.5" hidden="1" thickBot="1">
      <c r="A67" s="453"/>
      <c r="B67" s="314" t="s">
        <v>401</v>
      </c>
      <c r="C67" s="315">
        <f>C66*F67</f>
        <v>46.391603124999996</v>
      </c>
      <c r="F67" s="316">
        <v>0.262</v>
      </c>
    </row>
    <row r="68" spans="1:6" ht="16.5" hidden="1" thickBot="1">
      <c r="A68" s="310">
        <v>2</v>
      </c>
      <c r="B68" s="328" t="s">
        <v>411</v>
      </c>
      <c r="C68" s="313">
        <f>C66*F68</f>
        <v>48.6934765625</v>
      </c>
      <c r="F68" s="316">
        <v>0.275</v>
      </c>
    </row>
    <row r="69" spans="1:6" ht="16.5" hidden="1" thickBot="1">
      <c r="A69" s="337">
        <v>3</v>
      </c>
      <c r="B69" s="338" t="s">
        <v>400</v>
      </c>
      <c r="C69" s="339">
        <f>SUM(C66*F69)</f>
        <v>113.8542015625</v>
      </c>
      <c r="F69" s="316">
        <v>0.643</v>
      </c>
    </row>
    <row r="70" spans="1:6" ht="15.75" hidden="1">
      <c r="A70" s="330">
        <v>4</v>
      </c>
      <c r="B70" s="333"/>
      <c r="C70" s="334"/>
      <c r="F70" s="316"/>
    </row>
    <row r="71" spans="1:6" ht="15.75" hidden="1">
      <c r="A71" s="335"/>
      <c r="B71" s="333"/>
      <c r="C71" s="334"/>
      <c r="F71" s="316"/>
    </row>
    <row r="72" spans="1:6" ht="15.75" hidden="1">
      <c r="A72" s="335"/>
      <c r="B72" s="333"/>
      <c r="C72" s="334"/>
      <c r="F72" s="316"/>
    </row>
    <row r="73" spans="1:6" ht="15.75" hidden="1">
      <c r="A73" s="335"/>
      <c r="B73" s="333"/>
      <c r="C73" s="334"/>
      <c r="F73" s="316"/>
    </row>
    <row r="74" spans="1:6" ht="15.75" hidden="1">
      <c r="A74" s="335"/>
      <c r="B74" s="333"/>
      <c r="C74" s="334"/>
      <c r="F74" s="316"/>
    </row>
    <row r="75" spans="1:6" ht="15.75" hidden="1">
      <c r="A75" s="335"/>
      <c r="B75" s="333"/>
      <c r="C75" s="334"/>
      <c r="F75" s="316"/>
    </row>
    <row r="76" spans="1:3" ht="15.75" hidden="1">
      <c r="A76" s="335"/>
      <c r="B76" s="332" t="s">
        <v>196</v>
      </c>
      <c r="C76" s="331">
        <f>SUM(C66:C69)</f>
        <v>386.00646875</v>
      </c>
    </row>
    <row r="77" spans="1:6" ht="15.75" hidden="1">
      <c r="A77" s="335"/>
      <c r="B77" s="319" t="s">
        <v>405</v>
      </c>
      <c r="C77" s="320">
        <f>C76*F77</f>
        <v>19.3003234375</v>
      </c>
      <c r="F77" s="321">
        <v>0.05</v>
      </c>
    </row>
    <row r="78" spans="1:3" ht="15.75" hidden="1">
      <c r="A78" s="335"/>
      <c r="B78" s="319" t="s">
        <v>406</v>
      </c>
      <c r="C78" s="320">
        <f>C76+C77</f>
        <v>405.30679218750004</v>
      </c>
    </row>
    <row r="79" spans="1:6" ht="16.5" hidden="1" thickBot="1">
      <c r="A79" s="336"/>
      <c r="B79" s="322" t="s">
        <v>360</v>
      </c>
      <c r="C79" s="323">
        <f>SUM(C78*F79)</f>
        <v>72.95522259375001</v>
      </c>
      <c r="F79" s="321">
        <v>0.18</v>
      </c>
    </row>
    <row r="80" spans="1:3" ht="16.5" hidden="1" thickBot="1">
      <c r="A80" s="324"/>
      <c r="B80" s="325" t="s">
        <v>357</v>
      </c>
      <c r="C80" s="326">
        <f>C78+C79</f>
        <v>478.26201478125006</v>
      </c>
    </row>
    <row r="81" spans="1:3" ht="15.75" hidden="1">
      <c r="A81" s="304"/>
      <c r="B81" s="304"/>
      <c r="C81" s="304"/>
    </row>
    <row r="82" spans="1:3" ht="15.75" hidden="1">
      <c r="A82" s="304"/>
      <c r="B82" s="304"/>
      <c r="C82" s="304"/>
    </row>
    <row r="83" spans="1:3" ht="38.25" customHeight="1" hidden="1">
      <c r="A83" s="304"/>
      <c r="B83" s="304" t="s">
        <v>358</v>
      </c>
      <c r="C83" s="304" t="s">
        <v>285</v>
      </c>
    </row>
    <row r="84" spans="1:3" ht="15.75" hidden="1">
      <c r="A84" s="304"/>
      <c r="B84" s="304"/>
      <c r="C84" s="304"/>
    </row>
    <row r="85" spans="1:3" ht="15.75" hidden="1">
      <c r="A85" s="304"/>
      <c r="B85" s="304" t="s">
        <v>359</v>
      </c>
      <c r="C85" s="304" t="s">
        <v>397</v>
      </c>
    </row>
    <row r="86" spans="1:3" ht="15.75">
      <c r="A86" s="449" t="s">
        <v>418</v>
      </c>
      <c r="B86" s="449"/>
      <c r="C86" s="449"/>
    </row>
    <row r="87" spans="1:3" ht="15.75">
      <c r="A87" s="304"/>
      <c r="B87" s="304" t="s">
        <v>343</v>
      </c>
      <c r="C87" s="304"/>
    </row>
    <row r="88" spans="1:3" ht="15.75">
      <c r="A88" s="304"/>
      <c r="B88" s="450" t="s">
        <v>483</v>
      </c>
      <c r="C88" s="450"/>
    </row>
    <row r="89" spans="1:3" ht="15.75">
      <c r="A89" s="304"/>
      <c r="B89" s="450" t="s">
        <v>410</v>
      </c>
      <c r="C89" s="450"/>
    </row>
    <row r="90" spans="1:3" ht="15.75">
      <c r="A90" s="304"/>
      <c r="B90" s="304"/>
      <c r="C90" s="304"/>
    </row>
    <row r="91" spans="1:3" ht="15.75">
      <c r="A91" s="304"/>
      <c r="B91" s="304"/>
      <c r="C91" s="304"/>
    </row>
    <row r="92" spans="1:3" ht="15.75">
      <c r="A92" s="449" t="s">
        <v>344</v>
      </c>
      <c r="B92" s="449"/>
      <c r="C92" s="449"/>
    </row>
    <row r="93" spans="1:3" ht="15.75">
      <c r="A93" s="304"/>
      <c r="B93" s="304"/>
      <c r="C93" s="304"/>
    </row>
    <row r="94" spans="1:3" ht="15.75">
      <c r="A94" s="449" t="s">
        <v>407</v>
      </c>
      <c r="B94" s="449"/>
      <c r="C94" s="449"/>
    </row>
    <row r="95" spans="1:3" ht="15.75">
      <c r="A95" s="449" t="s">
        <v>408</v>
      </c>
      <c r="B95" s="449"/>
      <c r="C95" s="449"/>
    </row>
    <row r="96" spans="1:3" ht="15.75">
      <c r="A96" s="304"/>
      <c r="B96" s="304"/>
      <c r="C96" s="304"/>
    </row>
    <row r="97" spans="1:3" ht="16.5" thickBot="1">
      <c r="A97" s="304"/>
      <c r="B97" s="304"/>
      <c r="C97" s="305" t="s">
        <v>437</v>
      </c>
    </row>
    <row r="98" spans="1:3" ht="15.75">
      <c r="A98" s="306" t="s">
        <v>345</v>
      </c>
      <c r="B98" s="307" t="s">
        <v>346</v>
      </c>
      <c r="C98" s="327" t="s">
        <v>347</v>
      </c>
    </row>
    <row r="99" spans="1:6" ht="16.5" thickBot="1">
      <c r="A99" s="308"/>
      <c r="B99" s="308"/>
      <c r="C99" s="308"/>
      <c r="F99" s="115">
        <v>3780</v>
      </c>
    </row>
    <row r="100" spans="1:3" ht="15.75">
      <c r="A100" s="451">
        <v>1</v>
      </c>
      <c r="B100" s="309" t="s">
        <v>348</v>
      </c>
      <c r="C100" s="306"/>
    </row>
    <row r="101" spans="1:3" ht="15.75">
      <c r="A101" s="452"/>
      <c r="B101" s="311" t="s">
        <v>349</v>
      </c>
      <c r="C101" s="311"/>
    </row>
    <row r="102" spans="1:3" ht="15.75">
      <c r="A102" s="452"/>
      <c r="B102" s="311" t="s">
        <v>350</v>
      </c>
      <c r="C102" s="311"/>
    </row>
    <row r="103" spans="1:3" ht="15.75">
      <c r="A103" s="452"/>
      <c r="B103" s="311" t="s">
        <v>351</v>
      </c>
      <c r="C103" s="311"/>
    </row>
    <row r="104" spans="1:3" ht="15.75">
      <c r="A104" s="452"/>
      <c r="B104" s="311" t="s">
        <v>352</v>
      </c>
      <c r="C104" s="311"/>
    </row>
    <row r="105" spans="1:3" ht="15.75">
      <c r="A105" s="452"/>
      <c r="B105" s="311" t="s">
        <v>353</v>
      </c>
      <c r="C105" s="311"/>
    </row>
    <row r="106" spans="1:3" ht="15.75">
      <c r="A106" s="452"/>
      <c r="B106" s="312" t="s">
        <v>354</v>
      </c>
      <c r="C106" s="310"/>
    </row>
    <row r="107" spans="1:3" ht="15.75">
      <c r="A107" s="452"/>
      <c r="B107" s="311" t="s">
        <v>440</v>
      </c>
      <c r="C107" s="313">
        <f>(F99*1.09*1.35*1.15+F99*1.09*0.3*1.15)/165.6*1.5</f>
        <v>70.81593750000002</v>
      </c>
    </row>
    <row r="108" spans="1:3" ht="15.75">
      <c r="A108" s="452"/>
      <c r="B108" s="312" t="s">
        <v>355</v>
      </c>
      <c r="C108" s="313"/>
    </row>
    <row r="109" spans="1:3" ht="15.75">
      <c r="A109" s="452"/>
      <c r="B109" s="311" t="s">
        <v>441</v>
      </c>
      <c r="C109" s="313">
        <f>(F99*1.699*1.5*1.15+F99*1.699*0.3*1.15)/165.6*1.5</f>
        <v>120.416625</v>
      </c>
    </row>
    <row r="110" spans="1:3" ht="15.75">
      <c r="A110" s="452"/>
      <c r="B110" s="311" t="s">
        <v>356</v>
      </c>
      <c r="C110" s="313">
        <f>SUM(C107:C109)</f>
        <v>191.23256250000003</v>
      </c>
    </row>
    <row r="111" spans="1:6" ht="16.5" thickBot="1">
      <c r="A111" s="453"/>
      <c r="B111" s="314" t="s">
        <v>439</v>
      </c>
      <c r="C111" s="315">
        <f>C110*F111</f>
        <v>65.40153637500002</v>
      </c>
      <c r="F111" s="316">
        <v>0.342</v>
      </c>
    </row>
    <row r="112" spans="1:6" ht="16.5" thickBot="1">
      <c r="A112" s="310">
        <v>2</v>
      </c>
      <c r="B112" s="328" t="s">
        <v>411</v>
      </c>
      <c r="C112" s="313">
        <f>C110*F112</f>
        <v>52.588954687500014</v>
      </c>
      <c r="F112" s="316">
        <v>0.275</v>
      </c>
    </row>
    <row r="113" spans="1:6" ht="16.5" thickBot="1">
      <c r="A113" s="337">
        <v>3</v>
      </c>
      <c r="B113" s="338" t="s">
        <v>438</v>
      </c>
      <c r="C113" s="339">
        <f>C110*F113</f>
        <v>149.16139875000002</v>
      </c>
      <c r="F113" s="316">
        <v>0.78</v>
      </c>
    </row>
    <row r="114" spans="1:6" ht="15.75" hidden="1">
      <c r="A114" s="330">
        <v>4</v>
      </c>
      <c r="B114" s="333"/>
      <c r="C114" s="334"/>
      <c r="F114" s="316"/>
    </row>
    <row r="115" spans="1:6" ht="15.75" hidden="1">
      <c r="A115" s="335"/>
      <c r="B115" s="333"/>
      <c r="C115" s="334"/>
      <c r="F115" s="316"/>
    </row>
    <row r="116" spans="1:6" ht="15.75" hidden="1">
      <c r="A116" s="335"/>
      <c r="B116" s="333"/>
      <c r="C116" s="334"/>
      <c r="F116" s="316"/>
    </row>
    <row r="117" spans="1:6" ht="15.75" hidden="1">
      <c r="A117" s="335"/>
      <c r="B117" s="333"/>
      <c r="C117" s="334"/>
      <c r="F117" s="316"/>
    </row>
    <row r="118" spans="1:6" ht="15.75" hidden="1">
      <c r="A118" s="335"/>
      <c r="B118" s="333"/>
      <c r="C118" s="334"/>
      <c r="F118" s="316"/>
    </row>
    <row r="119" spans="1:6" ht="15.75" hidden="1">
      <c r="A119" s="335"/>
      <c r="B119" s="333"/>
      <c r="C119" s="334"/>
      <c r="F119" s="316"/>
    </row>
    <row r="120" spans="1:3" ht="15.75">
      <c r="A120" s="335"/>
      <c r="B120" s="332" t="s">
        <v>196</v>
      </c>
      <c r="C120" s="331">
        <f>SUM(C110:C113)</f>
        <v>458.3844523125001</v>
      </c>
    </row>
    <row r="121" spans="1:6" ht="15.75">
      <c r="A121" s="335"/>
      <c r="B121" s="319" t="s">
        <v>405</v>
      </c>
      <c r="C121" s="320">
        <f>+C120*F121</f>
        <v>22.919222615625007</v>
      </c>
      <c r="F121" s="321">
        <v>0.05</v>
      </c>
    </row>
    <row r="122" spans="1:3" ht="15.75">
      <c r="A122" s="335"/>
      <c r="B122" s="319" t="s">
        <v>406</v>
      </c>
      <c r="C122" s="320">
        <f>C120+C121</f>
        <v>481.30367492812513</v>
      </c>
    </row>
    <row r="123" spans="1:6" ht="16.5" thickBot="1">
      <c r="A123" s="336"/>
      <c r="B123" s="322" t="s">
        <v>360</v>
      </c>
      <c r="C123" s="323">
        <f>SUM(C122*F123)</f>
        <v>86.63466148706252</v>
      </c>
      <c r="F123" s="321">
        <v>0.18</v>
      </c>
    </row>
    <row r="124" spans="1:3" ht="16.5" thickBot="1">
      <c r="A124" s="324"/>
      <c r="B124" s="325" t="s">
        <v>357</v>
      </c>
      <c r="C124" s="326">
        <f>C122+C123</f>
        <v>567.9383364151877</v>
      </c>
    </row>
    <row r="125" spans="1:3" ht="15.75">
      <c r="A125" s="304"/>
      <c r="B125" s="304"/>
      <c r="C125" s="304"/>
    </row>
    <row r="126" spans="1:3" ht="15.75">
      <c r="A126" s="304"/>
      <c r="B126" s="304"/>
      <c r="C126" s="304"/>
    </row>
    <row r="127" spans="1:3" ht="15.75">
      <c r="A127" s="304"/>
      <c r="B127" s="304" t="s">
        <v>358</v>
      </c>
      <c r="C127" s="304" t="s">
        <v>285</v>
      </c>
    </row>
    <row r="128" spans="1:3" ht="15.75">
      <c r="A128" s="304"/>
      <c r="B128" s="304"/>
      <c r="C128" s="304"/>
    </row>
    <row r="129" spans="1:3" ht="15.75">
      <c r="A129" s="304"/>
      <c r="B129" s="304" t="s">
        <v>442</v>
      </c>
      <c r="C129" s="304" t="s">
        <v>417</v>
      </c>
    </row>
  </sheetData>
  <sheetProtection/>
  <mergeCells count="19">
    <mergeCell ref="A86:C86"/>
    <mergeCell ref="B88:C88"/>
    <mergeCell ref="A51:C51"/>
    <mergeCell ref="A56:A67"/>
    <mergeCell ref="A100:A111"/>
    <mergeCell ref="B89:C89"/>
    <mergeCell ref="A92:C92"/>
    <mergeCell ref="A94:C94"/>
    <mergeCell ref="A95:C95"/>
    <mergeCell ref="A9:C9"/>
    <mergeCell ref="A11:C11"/>
    <mergeCell ref="A48:C48"/>
    <mergeCell ref="A50:C50"/>
    <mergeCell ref="B44:C44"/>
    <mergeCell ref="B45:C45"/>
    <mergeCell ref="A42:C42"/>
    <mergeCell ref="A12:C12"/>
    <mergeCell ref="A17:A28"/>
    <mergeCell ref="A30:A34"/>
  </mergeCells>
  <printOptions/>
  <pageMargins left="0.69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.чп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сергей.</dc:creator>
  <cp:keywords/>
  <dc:description/>
  <cp:lastModifiedBy>Admin</cp:lastModifiedBy>
  <cp:lastPrinted>2011-02-15T12:50:09Z</cp:lastPrinted>
  <dcterms:created xsi:type="dcterms:W3CDTF">1999-06-08T06:25:08Z</dcterms:created>
  <dcterms:modified xsi:type="dcterms:W3CDTF">2011-03-26T17:23:00Z</dcterms:modified>
  <cp:category/>
  <cp:version/>
  <cp:contentType/>
  <cp:contentStatus/>
</cp:coreProperties>
</file>